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8836" windowHeight="6408" firstSheet="1" activeTab="6"/>
  </bookViews>
  <sheets>
    <sheet name="10 (10д) ДЗП 2018" sheetId="50" r:id="rId1"/>
    <sheet name="10 (10д) ДЗП (2019)" sheetId="51" r:id="rId2"/>
    <sheet name="10 (10д) ДЗП 2019" sheetId="11" r:id="rId3"/>
    <sheet name="10 (10д) ДЗП 2020" sheetId="38" r:id="rId4"/>
    <sheet name="10 (10д) ДЗП 2021" sheetId="46" r:id="rId5"/>
    <sheet name="10 (10д) ДЗП 2022" sheetId="47" r:id="rId6"/>
    <sheet name="11дОПР" sheetId="39" r:id="rId7"/>
    <sheet name="12дОХР" sheetId="40" r:id="rId8"/>
    <sheet name="22.1 (22.1д) прот норм (2020)" sheetId="36" r:id="rId9"/>
    <sheet name="22.1 (22.1д) прот норм (2021)" sheetId="48" r:id="rId10"/>
    <sheet name="22.1 (22.1д) прот норм (2022)" sheetId="49" r:id="rId11"/>
    <sheet name="22.2д труд" sheetId="42" r:id="rId12"/>
    <sheet name="Бизнес-план 18 190117" sheetId="2" r:id="rId13"/>
    <sheet name="Бизнес-план 19 190117" sheetId="33" r:id="rId14"/>
    <sheet name="21д свед. об V поставки" sheetId="41" r:id="rId15"/>
    <sheet name="Бизнес-план 20 190117" sheetId="34" r:id="rId16"/>
    <sheet name="Бизнес-план 21 190117" sheetId="43" r:id="rId17"/>
    <sheet name="Бизнес-план 22 190117" sheetId="44" r:id="rId18"/>
    <sheet name="Факт 2017" sheetId="14" r:id="rId19"/>
    <sheet name="Расчеты Енот и Гамбит ТТ" sheetId="45" r:id="rId20"/>
  </sheets>
  <externalReferences>
    <externalReference r:id="rId21"/>
  </externalReferences>
  <definedNames>
    <definedName name="TR10B" localSheetId="0">#REF!</definedName>
    <definedName name="TR10B" localSheetId="2">#REF!</definedName>
    <definedName name="TR10B" localSheetId="3">#REF!</definedName>
    <definedName name="TR10B" localSheetId="4">#REF!</definedName>
    <definedName name="TR10B" localSheetId="5">#REF!</definedName>
    <definedName name="TR10B" localSheetId="6">#REF!</definedName>
    <definedName name="TR10B" localSheetId="7">#REF!</definedName>
    <definedName name="TR10B" localSheetId="14">#REF!</definedName>
    <definedName name="TR10B" localSheetId="8">#REF!</definedName>
    <definedName name="TR10B" localSheetId="9">#REF!</definedName>
    <definedName name="TR10B" localSheetId="10">#REF!</definedName>
    <definedName name="TR10B" localSheetId="11">#REF!</definedName>
    <definedName name="TR10B" localSheetId="13">#REF!</definedName>
    <definedName name="TR10B" localSheetId="15">#REF!</definedName>
    <definedName name="TR10B" localSheetId="16">#REF!</definedName>
    <definedName name="TR10B" localSheetId="17">#REF!</definedName>
    <definedName name="TR10B">#REF!</definedName>
    <definedName name="TR10EXP" localSheetId="0">#REF!</definedName>
    <definedName name="TR10EXP" localSheetId="2">#REF!</definedName>
    <definedName name="TR10EXP" localSheetId="3">#REF!</definedName>
    <definedName name="TR10EXP" localSheetId="4">#REF!</definedName>
    <definedName name="TR10EXP" localSheetId="5">#REF!</definedName>
    <definedName name="TR10EXP" localSheetId="6">#REF!</definedName>
    <definedName name="TR10EXP" localSheetId="7">#REF!</definedName>
    <definedName name="TR10EXP" localSheetId="14">#REF!</definedName>
    <definedName name="TR10EXP" localSheetId="8">#REF!</definedName>
    <definedName name="TR10EXP" localSheetId="9">#REF!</definedName>
    <definedName name="TR10EXP" localSheetId="10">#REF!</definedName>
    <definedName name="TR10EXP" localSheetId="11">#REF!</definedName>
    <definedName name="TR10EXP" localSheetId="13">#REF!</definedName>
    <definedName name="TR10EXP" localSheetId="15">#REF!</definedName>
    <definedName name="TR10EXP" localSheetId="16">#REF!</definedName>
    <definedName name="TR10EXP" localSheetId="17">#REF!</definedName>
    <definedName name="TR10EXP">#REF!</definedName>
    <definedName name="TR10PSZ" localSheetId="0">#REF!</definedName>
    <definedName name="TR10PSZ" localSheetId="2">#REF!</definedName>
    <definedName name="TR10PSZ" localSheetId="3">#REF!</definedName>
    <definedName name="TR10PSZ" localSheetId="4">#REF!</definedName>
    <definedName name="TR10PSZ" localSheetId="5">#REF!</definedName>
    <definedName name="TR10PSZ" localSheetId="6">#REF!</definedName>
    <definedName name="TR10PSZ" localSheetId="7">#REF!</definedName>
    <definedName name="TR10PSZ" localSheetId="14">#REF!</definedName>
    <definedName name="TR10PSZ" localSheetId="8">#REF!</definedName>
    <definedName name="TR10PSZ" localSheetId="9">#REF!</definedName>
    <definedName name="TR10PSZ" localSheetId="10">#REF!</definedName>
    <definedName name="TR10PSZ" localSheetId="11">#REF!</definedName>
    <definedName name="TR10PSZ" localSheetId="13">#REF!</definedName>
    <definedName name="TR10PSZ" localSheetId="15">#REF!</definedName>
    <definedName name="TR10PSZ" localSheetId="16">#REF!</definedName>
    <definedName name="TR10PSZ" localSheetId="17">#REF!</definedName>
    <definedName name="TR10PSZ">#REF!</definedName>
    <definedName name="TR10S" localSheetId="0">#REF!</definedName>
    <definedName name="TR10S" localSheetId="2">#REF!</definedName>
    <definedName name="TR10S" localSheetId="3">#REF!</definedName>
    <definedName name="TR10S" localSheetId="4">#REF!</definedName>
    <definedName name="TR10S" localSheetId="5">#REF!</definedName>
    <definedName name="TR10S" localSheetId="6">#REF!</definedName>
    <definedName name="TR10S" localSheetId="7">#REF!</definedName>
    <definedName name="TR10S" localSheetId="14">#REF!</definedName>
    <definedName name="TR10S" localSheetId="8">#REF!</definedName>
    <definedName name="TR10S" localSheetId="9">#REF!</definedName>
    <definedName name="TR10S" localSheetId="10">#REF!</definedName>
    <definedName name="TR10S" localSheetId="11">#REF!</definedName>
    <definedName name="TR10S" localSheetId="13">#REF!</definedName>
    <definedName name="TR10S" localSheetId="15">#REF!</definedName>
    <definedName name="TR10S" localSheetId="16">#REF!</definedName>
    <definedName name="TR10S" localSheetId="17">#REF!</definedName>
    <definedName name="TR10S">#REF!</definedName>
    <definedName name="TR10ST" localSheetId="0">#REF!</definedName>
    <definedName name="TR10ST" localSheetId="2">#REF!</definedName>
    <definedName name="TR10ST" localSheetId="3">#REF!</definedName>
    <definedName name="TR10ST" localSheetId="4">#REF!</definedName>
    <definedName name="TR10ST" localSheetId="5">#REF!</definedName>
    <definedName name="TR10ST" localSheetId="6">#REF!</definedName>
    <definedName name="TR10ST" localSheetId="7">#REF!</definedName>
    <definedName name="TR10ST" localSheetId="14">#REF!</definedName>
    <definedName name="TR10ST" localSheetId="8">#REF!</definedName>
    <definedName name="TR10ST" localSheetId="9">#REF!</definedName>
    <definedName name="TR10ST" localSheetId="10">#REF!</definedName>
    <definedName name="TR10ST" localSheetId="11">#REF!</definedName>
    <definedName name="TR10ST" localSheetId="13">#REF!</definedName>
    <definedName name="TR10ST" localSheetId="15">#REF!</definedName>
    <definedName name="TR10ST" localSheetId="16">#REF!</definedName>
    <definedName name="TR10ST" localSheetId="17">#REF!</definedName>
    <definedName name="TR10ST">#REF!</definedName>
    <definedName name="TR10Y" localSheetId="0">#REF!</definedName>
    <definedName name="TR10Y" localSheetId="2">#REF!</definedName>
    <definedName name="TR10Y" localSheetId="3">#REF!</definedName>
    <definedName name="TR10Y" localSheetId="4">#REF!</definedName>
    <definedName name="TR10Y" localSheetId="5">#REF!</definedName>
    <definedName name="TR10Y" localSheetId="6">#REF!</definedName>
    <definedName name="TR10Y" localSheetId="7">#REF!</definedName>
    <definedName name="TR10Y" localSheetId="14">#REF!</definedName>
    <definedName name="TR10Y" localSheetId="8">#REF!</definedName>
    <definedName name="TR10Y" localSheetId="9">#REF!</definedName>
    <definedName name="TR10Y" localSheetId="10">#REF!</definedName>
    <definedName name="TR10Y" localSheetId="11">#REF!</definedName>
    <definedName name="TR10Y" localSheetId="13">#REF!</definedName>
    <definedName name="TR10Y" localSheetId="15">#REF!</definedName>
    <definedName name="TR10Y" localSheetId="16">#REF!</definedName>
    <definedName name="TR10Y" localSheetId="17">#REF!</definedName>
    <definedName name="TR10Y">#REF!</definedName>
    <definedName name="TR11B" localSheetId="0">#REF!</definedName>
    <definedName name="TR11B" localSheetId="2">#REF!</definedName>
    <definedName name="TR11B" localSheetId="3">#REF!</definedName>
    <definedName name="TR11B" localSheetId="4">#REF!</definedName>
    <definedName name="TR11B" localSheetId="5">#REF!</definedName>
    <definedName name="TR11B" localSheetId="6">#REF!</definedName>
    <definedName name="TR11B" localSheetId="7">#REF!</definedName>
    <definedName name="TR11B" localSheetId="14">#REF!</definedName>
    <definedName name="TR11B" localSheetId="8">#REF!</definedName>
    <definedName name="TR11B" localSheetId="9">#REF!</definedName>
    <definedName name="TR11B" localSheetId="10">#REF!</definedName>
    <definedName name="TR11B" localSheetId="11">#REF!</definedName>
    <definedName name="TR11B" localSheetId="13">#REF!</definedName>
    <definedName name="TR11B" localSheetId="15">#REF!</definedName>
    <definedName name="TR11B" localSheetId="16">#REF!</definedName>
    <definedName name="TR11B" localSheetId="17">#REF!</definedName>
    <definedName name="TR11B">#REF!</definedName>
    <definedName name="TR11PSZ" localSheetId="0">#REF!</definedName>
    <definedName name="TR11PSZ" localSheetId="2">#REF!</definedName>
    <definedName name="TR11PSZ" localSheetId="3">#REF!</definedName>
    <definedName name="TR11PSZ" localSheetId="4">#REF!</definedName>
    <definedName name="TR11PSZ" localSheetId="5">#REF!</definedName>
    <definedName name="TR11PSZ" localSheetId="6">#REF!</definedName>
    <definedName name="TR11PSZ" localSheetId="7">#REF!</definedName>
    <definedName name="TR11PSZ" localSheetId="14">#REF!</definedName>
    <definedName name="TR11PSZ" localSheetId="8">#REF!</definedName>
    <definedName name="TR11PSZ" localSheetId="9">#REF!</definedName>
    <definedName name="TR11PSZ" localSheetId="10">#REF!</definedName>
    <definedName name="TR11PSZ" localSheetId="11">#REF!</definedName>
    <definedName name="TR11PSZ" localSheetId="13">#REF!</definedName>
    <definedName name="TR11PSZ" localSheetId="15">#REF!</definedName>
    <definedName name="TR11PSZ" localSheetId="16">#REF!</definedName>
    <definedName name="TR11PSZ" localSheetId="17">#REF!</definedName>
    <definedName name="TR11PSZ">#REF!</definedName>
    <definedName name="TR11S" localSheetId="0">#REF!</definedName>
    <definedName name="TR11S" localSheetId="2">#REF!</definedName>
    <definedName name="TR11S" localSheetId="3">#REF!</definedName>
    <definedName name="TR11S" localSheetId="4">#REF!</definedName>
    <definedName name="TR11S" localSheetId="5">#REF!</definedName>
    <definedName name="TR11S" localSheetId="6">#REF!</definedName>
    <definedName name="TR11S" localSheetId="7">#REF!</definedName>
    <definedName name="TR11S" localSheetId="14">#REF!</definedName>
    <definedName name="TR11S" localSheetId="8">#REF!</definedName>
    <definedName name="TR11S" localSheetId="9">#REF!</definedName>
    <definedName name="TR11S" localSheetId="10">#REF!</definedName>
    <definedName name="TR11S" localSheetId="11">#REF!</definedName>
    <definedName name="TR11S" localSheetId="13">#REF!</definedName>
    <definedName name="TR11S" localSheetId="15">#REF!</definedName>
    <definedName name="TR11S" localSheetId="16">#REF!</definedName>
    <definedName name="TR11S" localSheetId="17">#REF!</definedName>
    <definedName name="TR11S">#REF!</definedName>
    <definedName name="TR11ST" localSheetId="0">#REF!</definedName>
    <definedName name="TR11ST" localSheetId="2">#REF!</definedName>
    <definedName name="TR11ST" localSheetId="3">#REF!</definedName>
    <definedName name="TR11ST" localSheetId="4">#REF!</definedName>
    <definedName name="TR11ST" localSheetId="5">#REF!</definedName>
    <definedName name="TR11ST" localSheetId="6">#REF!</definedName>
    <definedName name="TR11ST" localSheetId="7">#REF!</definedName>
    <definedName name="TR11ST" localSheetId="14">#REF!</definedName>
    <definedName name="TR11ST" localSheetId="8">#REF!</definedName>
    <definedName name="TR11ST" localSheetId="9">#REF!</definedName>
    <definedName name="TR11ST" localSheetId="10">#REF!</definedName>
    <definedName name="TR11ST" localSheetId="11">#REF!</definedName>
    <definedName name="TR11ST" localSheetId="13">#REF!</definedName>
    <definedName name="TR11ST" localSheetId="15">#REF!</definedName>
    <definedName name="TR11ST" localSheetId="16">#REF!</definedName>
    <definedName name="TR11ST" localSheetId="17">#REF!</definedName>
    <definedName name="TR11ST">#REF!</definedName>
    <definedName name="TR11Y" localSheetId="0">#REF!</definedName>
    <definedName name="TR11Y" localSheetId="2">#REF!</definedName>
    <definedName name="TR11Y" localSheetId="3">#REF!</definedName>
    <definedName name="TR11Y" localSheetId="4">#REF!</definedName>
    <definedName name="TR11Y" localSheetId="5">#REF!</definedName>
    <definedName name="TR11Y" localSheetId="6">#REF!</definedName>
    <definedName name="TR11Y" localSheetId="7">#REF!</definedName>
    <definedName name="TR11Y" localSheetId="14">#REF!</definedName>
    <definedName name="TR11Y" localSheetId="8">#REF!</definedName>
    <definedName name="TR11Y" localSheetId="9">#REF!</definedName>
    <definedName name="TR11Y" localSheetId="10">#REF!</definedName>
    <definedName name="TR11Y" localSheetId="11">#REF!</definedName>
    <definedName name="TR11Y" localSheetId="13">#REF!</definedName>
    <definedName name="TR11Y" localSheetId="15">#REF!</definedName>
    <definedName name="TR11Y" localSheetId="16">#REF!</definedName>
    <definedName name="TR11Y" localSheetId="17">#REF!</definedName>
    <definedName name="TR11Y">#REF!</definedName>
    <definedName name="TR12B" localSheetId="0">#REF!</definedName>
    <definedName name="TR12B" localSheetId="2">#REF!</definedName>
    <definedName name="TR12B" localSheetId="3">#REF!</definedName>
    <definedName name="TR12B" localSheetId="4">#REF!</definedName>
    <definedName name="TR12B" localSheetId="5">#REF!</definedName>
    <definedName name="TR12B" localSheetId="6">#REF!</definedName>
    <definedName name="TR12B" localSheetId="7">#REF!</definedName>
    <definedName name="TR12B" localSheetId="14">#REF!</definedName>
    <definedName name="TR12B" localSheetId="8">#REF!</definedName>
    <definedName name="TR12B" localSheetId="9">#REF!</definedName>
    <definedName name="TR12B" localSheetId="10">#REF!</definedName>
    <definedName name="TR12B" localSheetId="11">#REF!</definedName>
    <definedName name="TR12B" localSheetId="13">#REF!</definedName>
    <definedName name="TR12B" localSheetId="15">#REF!</definedName>
    <definedName name="TR12B" localSheetId="16">#REF!</definedName>
    <definedName name="TR12B" localSheetId="17">#REF!</definedName>
    <definedName name="TR12B">#REF!</definedName>
    <definedName name="TR12EXP" localSheetId="0">#REF!</definedName>
    <definedName name="TR12EXP" localSheetId="2">#REF!</definedName>
    <definedName name="TR12EXP" localSheetId="3">#REF!</definedName>
    <definedName name="TR12EXP" localSheetId="4">#REF!</definedName>
    <definedName name="TR12EXP" localSheetId="5">#REF!</definedName>
    <definedName name="TR12EXP" localSheetId="6">#REF!</definedName>
    <definedName name="TR12EXP" localSheetId="7">#REF!</definedName>
    <definedName name="TR12EXP" localSheetId="14">#REF!</definedName>
    <definedName name="TR12EXP" localSheetId="8">#REF!</definedName>
    <definedName name="TR12EXP" localSheetId="9">#REF!</definedName>
    <definedName name="TR12EXP" localSheetId="10">#REF!</definedName>
    <definedName name="TR12EXP" localSheetId="11">#REF!</definedName>
    <definedName name="TR12EXP" localSheetId="13">#REF!</definedName>
    <definedName name="TR12EXP" localSheetId="15">#REF!</definedName>
    <definedName name="TR12EXP" localSheetId="16">#REF!</definedName>
    <definedName name="TR12EXP" localSheetId="17">#REF!</definedName>
    <definedName name="TR12EXP">#REF!</definedName>
    <definedName name="TR12PSZ" localSheetId="0">#REF!</definedName>
    <definedName name="TR12PSZ" localSheetId="2">#REF!</definedName>
    <definedName name="TR12PSZ" localSheetId="3">#REF!</definedName>
    <definedName name="TR12PSZ" localSheetId="4">#REF!</definedName>
    <definedName name="TR12PSZ" localSheetId="5">#REF!</definedName>
    <definedName name="TR12PSZ" localSheetId="6">#REF!</definedName>
    <definedName name="TR12PSZ" localSheetId="7">#REF!</definedName>
    <definedName name="TR12PSZ" localSheetId="14">#REF!</definedName>
    <definedName name="TR12PSZ" localSheetId="8">#REF!</definedName>
    <definedName name="TR12PSZ" localSheetId="9">#REF!</definedName>
    <definedName name="TR12PSZ" localSheetId="10">#REF!</definedName>
    <definedName name="TR12PSZ" localSheetId="11">#REF!</definedName>
    <definedName name="TR12PSZ" localSheetId="13">#REF!</definedName>
    <definedName name="TR12PSZ" localSheetId="15">#REF!</definedName>
    <definedName name="TR12PSZ" localSheetId="16">#REF!</definedName>
    <definedName name="TR12PSZ" localSheetId="17">#REF!</definedName>
    <definedName name="TR12PSZ">#REF!</definedName>
    <definedName name="TR12S" localSheetId="0">#REF!</definedName>
    <definedName name="TR12S" localSheetId="2">#REF!</definedName>
    <definedName name="TR12S" localSheetId="3">#REF!</definedName>
    <definedName name="TR12S" localSheetId="4">#REF!</definedName>
    <definedName name="TR12S" localSheetId="5">#REF!</definedName>
    <definedName name="TR12S" localSheetId="6">#REF!</definedName>
    <definedName name="TR12S" localSheetId="7">#REF!</definedName>
    <definedName name="TR12S" localSheetId="14">#REF!</definedName>
    <definedName name="TR12S" localSheetId="8">#REF!</definedName>
    <definedName name="TR12S" localSheetId="9">#REF!</definedName>
    <definedName name="TR12S" localSheetId="10">#REF!</definedName>
    <definedName name="TR12S" localSheetId="11">#REF!</definedName>
    <definedName name="TR12S" localSheetId="13">#REF!</definedName>
    <definedName name="TR12S" localSheetId="15">#REF!</definedName>
    <definedName name="TR12S" localSheetId="16">#REF!</definedName>
    <definedName name="TR12S" localSheetId="17">#REF!</definedName>
    <definedName name="TR12S">#REF!</definedName>
    <definedName name="TR12ST" localSheetId="0">#REF!</definedName>
    <definedName name="TR12ST" localSheetId="2">#REF!</definedName>
    <definedName name="TR12ST" localSheetId="3">#REF!</definedName>
    <definedName name="TR12ST" localSheetId="4">#REF!</definedName>
    <definedName name="TR12ST" localSheetId="5">#REF!</definedName>
    <definedName name="TR12ST" localSheetId="6">#REF!</definedName>
    <definedName name="TR12ST" localSheetId="7">#REF!</definedName>
    <definedName name="TR12ST" localSheetId="14">#REF!</definedName>
    <definedName name="TR12ST" localSheetId="8">#REF!</definedName>
    <definedName name="TR12ST" localSheetId="9">#REF!</definedName>
    <definedName name="TR12ST" localSheetId="10">#REF!</definedName>
    <definedName name="TR12ST" localSheetId="11">#REF!</definedName>
    <definedName name="TR12ST" localSheetId="13">#REF!</definedName>
    <definedName name="TR12ST" localSheetId="15">#REF!</definedName>
    <definedName name="TR12ST" localSheetId="16">#REF!</definedName>
    <definedName name="TR12ST" localSheetId="17">#REF!</definedName>
    <definedName name="TR12ST">#REF!</definedName>
    <definedName name="TR12Y" localSheetId="0">#REF!</definedName>
    <definedName name="TR12Y" localSheetId="2">#REF!</definedName>
    <definedName name="TR12Y" localSheetId="3">#REF!</definedName>
    <definedName name="TR12Y" localSheetId="4">#REF!</definedName>
    <definedName name="TR12Y" localSheetId="5">#REF!</definedName>
    <definedName name="TR12Y" localSheetId="6">#REF!</definedName>
    <definedName name="TR12Y" localSheetId="7">#REF!</definedName>
    <definedName name="TR12Y" localSheetId="14">#REF!</definedName>
    <definedName name="TR12Y" localSheetId="8">#REF!</definedName>
    <definedName name="TR12Y" localSheetId="9">#REF!</definedName>
    <definedName name="TR12Y" localSheetId="10">#REF!</definedName>
    <definedName name="TR12Y" localSheetId="11">#REF!</definedName>
    <definedName name="TR12Y" localSheetId="13">#REF!</definedName>
    <definedName name="TR12Y" localSheetId="15">#REF!</definedName>
    <definedName name="TR12Y" localSheetId="16">#REF!</definedName>
    <definedName name="TR12Y" localSheetId="17">#REF!</definedName>
    <definedName name="TR12Y">#REF!</definedName>
    <definedName name="TR15B" localSheetId="0">#REF!</definedName>
    <definedName name="TR15B" localSheetId="2">#REF!</definedName>
    <definedName name="TR15B" localSheetId="3">#REF!</definedName>
    <definedName name="TR15B" localSheetId="4">#REF!</definedName>
    <definedName name="TR15B" localSheetId="5">#REF!</definedName>
    <definedName name="TR15B" localSheetId="6">#REF!</definedName>
    <definedName name="TR15B" localSheetId="7">#REF!</definedName>
    <definedName name="TR15B" localSheetId="14">#REF!</definedName>
    <definedName name="TR15B" localSheetId="8">#REF!</definedName>
    <definedName name="TR15B" localSheetId="9">#REF!</definedName>
    <definedName name="TR15B" localSheetId="10">#REF!</definedName>
    <definedName name="TR15B" localSheetId="11">#REF!</definedName>
    <definedName name="TR15B" localSheetId="13">#REF!</definedName>
    <definedName name="TR15B" localSheetId="15">#REF!</definedName>
    <definedName name="TR15B" localSheetId="16">#REF!</definedName>
    <definedName name="TR15B" localSheetId="17">#REF!</definedName>
    <definedName name="TR15B">#REF!</definedName>
    <definedName name="TR15EXP" localSheetId="0">#REF!</definedName>
    <definedName name="TR15EXP" localSheetId="2">#REF!</definedName>
    <definedName name="TR15EXP" localSheetId="3">#REF!</definedName>
    <definedName name="TR15EXP" localSheetId="4">#REF!</definedName>
    <definedName name="TR15EXP" localSheetId="5">#REF!</definedName>
    <definedName name="TR15EXP" localSheetId="6">#REF!</definedName>
    <definedName name="TR15EXP" localSheetId="7">#REF!</definedName>
    <definedName name="TR15EXP" localSheetId="14">#REF!</definedName>
    <definedName name="TR15EXP" localSheetId="8">#REF!</definedName>
    <definedName name="TR15EXP" localSheetId="9">#REF!</definedName>
    <definedName name="TR15EXP" localSheetId="10">#REF!</definedName>
    <definedName name="TR15EXP" localSheetId="11">#REF!</definedName>
    <definedName name="TR15EXP" localSheetId="13">#REF!</definedName>
    <definedName name="TR15EXP" localSheetId="15">#REF!</definedName>
    <definedName name="TR15EXP" localSheetId="16">#REF!</definedName>
    <definedName name="TR15EXP" localSheetId="17">#REF!</definedName>
    <definedName name="TR15EXP">#REF!</definedName>
    <definedName name="TR15PSZ" localSheetId="0">#REF!</definedName>
    <definedName name="TR15PSZ" localSheetId="2">#REF!</definedName>
    <definedName name="TR15PSZ" localSheetId="3">#REF!</definedName>
    <definedName name="TR15PSZ" localSheetId="4">#REF!</definedName>
    <definedName name="TR15PSZ" localSheetId="5">#REF!</definedName>
    <definedName name="TR15PSZ" localSheetId="6">#REF!</definedName>
    <definedName name="TR15PSZ" localSheetId="7">#REF!</definedName>
    <definedName name="TR15PSZ" localSheetId="14">#REF!</definedName>
    <definedName name="TR15PSZ" localSheetId="8">#REF!</definedName>
    <definedName name="TR15PSZ" localSheetId="9">#REF!</definedName>
    <definedName name="TR15PSZ" localSheetId="10">#REF!</definedName>
    <definedName name="TR15PSZ" localSheetId="11">#REF!</definedName>
    <definedName name="TR15PSZ" localSheetId="13">#REF!</definedName>
    <definedName name="TR15PSZ" localSheetId="15">#REF!</definedName>
    <definedName name="TR15PSZ" localSheetId="16">#REF!</definedName>
    <definedName name="TR15PSZ" localSheetId="17">#REF!</definedName>
    <definedName name="TR15PSZ">#REF!</definedName>
    <definedName name="TR15S" localSheetId="0">#REF!</definedName>
    <definedName name="TR15S" localSheetId="2">#REF!</definedName>
    <definedName name="TR15S" localSheetId="3">#REF!</definedName>
    <definedName name="TR15S" localSheetId="4">#REF!</definedName>
    <definedName name="TR15S" localSheetId="5">#REF!</definedName>
    <definedName name="TR15S" localSheetId="6">#REF!</definedName>
    <definedName name="TR15S" localSheetId="7">#REF!</definedName>
    <definedName name="TR15S" localSheetId="14">#REF!</definedName>
    <definedName name="TR15S" localSheetId="8">#REF!</definedName>
    <definedName name="TR15S" localSheetId="9">#REF!</definedName>
    <definedName name="TR15S" localSheetId="10">#REF!</definedName>
    <definedName name="TR15S" localSheetId="11">#REF!</definedName>
    <definedName name="TR15S" localSheetId="13">#REF!</definedName>
    <definedName name="TR15S" localSheetId="15">#REF!</definedName>
    <definedName name="TR15S" localSheetId="16">#REF!</definedName>
    <definedName name="TR15S" localSheetId="17">#REF!</definedName>
    <definedName name="TR15S">#REF!</definedName>
    <definedName name="TR15ST" localSheetId="0">#REF!</definedName>
    <definedName name="TR15ST" localSheetId="2">#REF!</definedName>
    <definedName name="TR15ST" localSheetId="3">#REF!</definedName>
    <definedName name="TR15ST" localSheetId="4">#REF!</definedName>
    <definedName name="TR15ST" localSheetId="5">#REF!</definedName>
    <definedName name="TR15ST" localSheetId="6">#REF!</definedName>
    <definedName name="TR15ST" localSheetId="7">#REF!</definedName>
    <definedName name="TR15ST" localSheetId="14">#REF!</definedName>
    <definedName name="TR15ST" localSheetId="8">#REF!</definedName>
    <definedName name="TR15ST" localSheetId="9">#REF!</definedName>
    <definedName name="TR15ST" localSheetId="10">#REF!</definedName>
    <definedName name="TR15ST" localSheetId="11">#REF!</definedName>
    <definedName name="TR15ST" localSheetId="13">#REF!</definedName>
    <definedName name="TR15ST" localSheetId="15">#REF!</definedName>
    <definedName name="TR15ST" localSheetId="16">#REF!</definedName>
    <definedName name="TR15ST" localSheetId="17">#REF!</definedName>
    <definedName name="TR15ST">#REF!</definedName>
    <definedName name="TR15Y" localSheetId="0">#REF!</definedName>
    <definedName name="TR15Y" localSheetId="2">#REF!</definedName>
    <definedName name="TR15Y" localSheetId="3">#REF!</definedName>
    <definedName name="TR15Y" localSheetId="4">#REF!</definedName>
    <definedName name="TR15Y" localSheetId="5">#REF!</definedName>
    <definedName name="TR15Y" localSheetId="6">#REF!</definedName>
    <definedName name="TR15Y" localSheetId="7">#REF!</definedName>
    <definedName name="TR15Y" localSheetId="14">#REF!</definedName>
    <definedName name="TR15Y" localSheetId="8">#REF!</definedName>
    <definedName name="TR15Y" localSheetId="9">#REF!</definedName>
    <definedName name="TR15Y" localSheetId="10">#REF!</definedName>
    <definedName name="TR15Y" localSheetId="11">#REF!</definedName>
    <definedName name="TR15Y" localSheetId="13">#REF!</definedName>
    <definedName name="TR15Y" localSheetId="15">#REF!</definedName>
    <definedName name="TR15Y" localSheetId="16">#REF!</definedName>
    <definedName name="TR15Y" localSheetId="17">#REF!</definedName>
    <definedName name="TR15Y">#REF!</definedName>
    <definedName name="TR1EXP" localSheetId="0">#REF!</definedName>
    <definedName name="TR1EXP" localSheetId="2">#REF!</definedName>
    <definedName name="TR1EXP" localSheetId="3">#REF!</definedName>
    <definedName name="TR1EXP" localSheetId="4">#REF!</definedName>
    <definedName name="TR1EXP" localSheetId="5">#REF!</definedName>
    <definedName name="TR1EXP" localSheetId="6">#REF!</definedName>
    <definedName name="TR1EXP" localSheetId="7">#REF!</definedName>
    <definedName name="TR1EXP" localSheetId="14">#REF!</definedName>
    <definedName name="TR1EXP" localSheetId="8">#REF!</definedName>
    <definedName name="TR1EXP" localSheetId="9">#REF!</definedName>
    <definedName name="TR1EXP" localSheetId="10">#REF!</definedName>
    <definedName name="TR1EXP" localSheetId="11">#REF!</definedName>
    <definedName name="TR1EXP" localSheetId="13">#REF!</definedName>
    <definedName name="TR1EXP" localSheetId="15">#REF!</definedName>
    <definedName name="TR1EXP" localSheetId="16">#REF!</definedName>
    <definedName name="TR1EXP" localSheetId="17">#REF!</definedName>
    <definedName name="TR1EXP">#REF!</definedName>
    <definedName name="TR20B" localSheetId="0">#REF!</definedName>
    <definedName name="TR20B" localSheetId="2">#REF!</definedName>
    <definedName name="TR20B" localSheetId="3">#REF!</definedName>
    <definedName name="TR20B" localSheetId="4">#REF!</definedName>
    <definedName name="TR20B" localSheetId="5">#REF!</definedName>
    <definedName name="TR20B" localSheetId="6">#REF!</definedName>
    <definedName name="TR20B" localSheetId="7">#REF!</definedName>
    <definedName name="TR20B" localSheetId="14">#REF!</definedName>
    <definedName name="TR20B" localSheetId="8">#REF!</definedName>
    <definedName name="TR20B" localSheetId="9">#REF!</definedName>
    <definedName name="TR20B" localSheetId="10">#REF!</definedName>
    <definedName name="TR20B" localSheetId="11">#REF!</definedName>
    <definedName name="TR20B" localSheetId="13">#REF!</definedName>
    <definedName name="TR20B" localSheetId="15">#REF!</definedName>
    <definedName name="TR20B" localSheetId="16">#REF!</definedName>
    <definedName name="TR20B" localSheetId="17">#REF!</definedName>
    <definedName name="TR20B">#REF!</definedName>
    <definedName name="TR20EXP" localSheetId="0">#REF!</definedName>
    <definedName name="TR20EXP" localSheetId="2">#REF!</definedName>
    <definedName name="TR20EXP" localSheetId="3">#REF!</definedName>
    <definedName name="TR20EXP" localSheetId="4">#REF!</definedName>
    <definedName name="TR20EXP" localSheetId="5">#REF!</definedName>
    <definedName name="TR20EXP" localSheetId="6">#REF!</definedName>
    <definedName name="TR20EXP" localSheetId="7">#REF!</definedName>
    <definedName name="TR20EXP" localSheetId="14">#REF!</definedName>
    <definedName name="TR20EXP" localSheetId="8">#REF!</definedName>
    <definedName name="TR20EXP" localSheetId="9">#REF!</definedName>
    <definedName name="TR20EXP" localSheetId="10">#REF!</definedName>
    <definedName name="TR20EXP" localSheetId="11">#REF!</definedName>
    <definedName name="TR20EXP" localSheetId="13">#REF!</definedName>
    <definedName name="TR20EXP" localSheetId="15">#REF!</definedName>
    <definedName name="TR20EXP" localSheetId="16">#REF!</definedName>
    <definedName name="TR20EXP" localSheetId="17">#REF!</definedName>
    <definedName name="TR20EXP">#REF!</definedName>
    <definedName name="TR20PSZ" localSheetId="0">#REF!</definedName>
    <definedName name="TR20PSZ" localSheetId="2">#REF!</definedName>
    <definedName name="TR20PSZ" localSheetId="3">#REF!</definedName>
    <definedName name="TR20PSZ" localSheetId="4">#REF!</definedName>
    <definedName name="TR20PSZ" localSheetId="5">#REF!</definedName>
    <definedName name="TR20PSZ" localSheetId="6">#REF!</definedName>
    <definedName name="TR20PSZ" localSheetId="7">#REF!</definedName>
    <definedName name="TR20PSZ" localSheetId="14">#REF!</definedName>
    <definedName name="TR20PSZ" localSheetId="8">#REF!</definedName>
    <definedName name="TR20PSZ" localSheetId="9">#REF!</definedName>
    <definedName name="TR20PSZ" localSheetId="10">#REF!</definedName>
    <definedName name="TR20PSZ" localSheetId="11">#REF!</definedName>
    <definedName name="TR20PSZ" localSheetId="13">#REF!</definedName>
    <definedName name="TR20PSZ" localSheetId="15">#REF!</definedName>
    <definedName name="TR20PSZ" localSheetId="16">#REF!</definedName>
    <definedName name="TR20PSZ" localSheetId="17">#REF!</definedName>
    <definedName name="TR20PSZ">#REF!</definedName>
    <definedName name="TR20S" localSheetId="0">#REF!</definedName>
    <definedName name="TR20S" localSheetId="2">#REF!</definedName>
    <definedName name="TR20S" localSheetId="3">#REF!</definedName>
    <definedName name="TR20S" localSheetId="4">#REF!</definedName>
    <definedName name="TR20S" localSheetId="5">#REF!</definedName>
    <definedName name="TR20S" localSheetId="6">#REF!</definedName>
    <definedName name="TR20S" localSheetId="7">#REF!</definedName>
    <definedName name="TR20S" localSheetId="14">#REF!</definedName>
    <definedName name="TR20S" localSheetId="8">#REF!</definedName>
    <definedName name="TR20S" localSheetId="9">#REF!</definedName>
    <definedName name="TR20S" localSheetId="10">#REF!</definedName>
    <definedName name="TR20S" localSheetId="11">#REF!</definedName>
    <definedName name="TR20S" localSheetId="13">#REF!</definedName>
    <definedName name="TR20S" localSheetId="15">#REF!</definedName>
    <definedName name="TR20S" localSheetId="16">#REF!</definedName>
    <definedName name="TR20S" localSheetId="17">#REF!</definedName>
    <definedName name="TR20S">#REF!</definedName>
    <definedName name="TR20ST" localSheetId="0">#REF!</definedName>
    <definedName name="TR20ST" localSheetId="2">#REF!</definedName>
    <definedName name="TR20ST" localSheetId="3">#REF!</definedName>
    <definedName name="TR20ST" localSheetId="4">#REF!</definedName>
    <definedName name="TR20ST" localSheetId="5">#REF!</definedName>
    <definedName name="TR20ST" localSheetId="6">#REF!</definedName>
    <definedName name="TR20ST" localSheetId="7">#REF!</definedName>
    <definedName name="TR20ST" localSheetId="14">#REF!</definedName>
    <definedName name="TR20ST" localSheetId="8">#REF!</definedName>
    <definedName name="TR20ST" localSheetId="9">#REF!</definedName>
    <definedName name="TR20ST" localSheetId="10">#REF!</definedName>
    <definedName name="TR20ST" localSheetId="11">#REF!</definedName>
    <definedName name="TR20ST" localSheetId="13">#REF!</definedName>
    <definedName name="TR20ST" localSheetId="15">#REF!</definedName>
    <definedName name="TR20ST" localSheetId="16">#REF!</definedName>
    <definedName name="TR20ST" localSheetId="17">#REF!</definedName>
    <definedName name="TR20ST">#REF!</definedName>
    <definedName name="TR20Y" localSheetId="0">#REF!</definedName>
    <definedName name="TR20Y" localSheetId="2">#REF!</definedName>
    <definedName name="TR20Y" localSheetId="3">#REF!</definedName>
    <definedName name="TR20Y" localSheetId="4">#REF!</definedName>
    <definedName name="TR20Y" localSheetId="5">#REF!</definedName>
    <definedName name="TR20Y" localSheetId="6">#REF!</definedName>
    <definedName name="TR20Y" localSheetId="7">#REF!</definedName>
    <definedName name="TR20Y" localSheetId="14">#REF!</definedName>
    <definedName name="TR20Y" localSheetId="8">#REF!</definedName>
    <definedName name="TR20Y" localSheetId="9">#REF!</definedName>
    <definedName name="TR20Y" localSheetId="10">#REF!</definedName>
    <definedName name="TR20Y" localSheetId="11">#REF!</definedName>
    <definedName name="TR20Y" localSheetId="13">#REF!</definedName>
    <definedName name="TR20Y" localSheetId="15">#REF!</definedName>
    <definedName name="TR20Y" localSheetId="16">#REF!</definedName>
    <definedName name="TR20Y" localSheetId="17">#REF!</definedName>
    <definedName name="TR20Y">#REF!</definedName>
    <definedName name="TR21Y" localSheetId="0">#REF!</definedName>
    <definedName name="TR21Y" localSheetId="2">#REF!</definedName>
    <definedName name="TR21Y" localSheetId="3">#REF!</definedName>
    <definedName name="TR21Y" localSheetId="4">#REF!</definedName>
    <definedName name="TR21Y" localSheetId="5">#REF!</definedName>
    <definedName name="TR21Y" localSheetId="6">#REF!</definedName>
    <definedName name="TR21Y" localSheetId="7">#REF!</definedName>
    <definedName name="TR21Y" localSheetId="14">#REF!</definedName>
    <definedName name="TR21Y" localSheetId="8">#REF!</definedName>
    <definedName name="TR21Y" localSheetId="9">#REF!</definedName>
    <definedName name="TR21Y" localSheetId="10">#REF!</definedName>
    <definedName name="TR21Y" localSheetId="11">#REF!</definedName>
    <definedName name="TR21Y" localSheetId="13">#REF!</definedName>
    <definedName name="TR21Y" localSheetId="15">#REF!</definedName>
    <definedName name="TR21Y" localSheetId="16">#REF!</definedName>
    <definedName name="TR21Y" localSheetId="17">#REF!</definedName>
    <definedName name="TR21Y">#REF!</definedName>
    <definedName name="TR23B" localSheetId="0">#REF!</definedName>
    <definedName name="TR23B" localSheetId="2">#REF!</definedName>
    <definedName name="TR23B" localSheetId="3">#REF!</definedName>
    <definedName name="TR23B" localSheetId="4">#REF!</definedName>
    <definedName name="TR23B" localSheetId="5">#REF!</definedName>
    <definedName name="TR23B" localSheetId="6">#REF!</definedName>
    <definedName name="TR23B" localSheetId="7">#REF!</definedName>
    <definedName name="TR23B" localSheetId="14">#REF!</definedName>
    <definedName name="TR23B" localSheetId="8">#REF!</definedName>
    <definedName name="TR23B" localSheetId="9">#REF!</definedName>
    <definedName name="TR23B" localSheetId="10">#REF!</definedName>
    <definedName name="TR23B" localSheetId="11">#REF!</definedName>
    <definedName name="TR23B" localSheetId="13">#REF!</definedName>
    <definedName name="TR23B" localSheetId="15">#REF!</definedName>
    <definedName name="TR23B" localSheetId="16">#REF!</definedName>
    <definedName name="TR23B" localSheetId="17">#REF!</definedName>
    <definedName name="TR23B">#REF!</definedName>
    <definedName name="TR23EXP" localSheetId="0">#REF!</definedName>
    <definedName name="TR23EXP" localSheetId="2">#REF!</definedName>
    <definedName name="TR23EXP" localSheetId="3">#REF!</definedName>
    <definedName name="TR23EXP" localSheetId="4">#REF!</definedName>
    <definedName name="TR23EXP" localSheetId="5">#REF!</definedName>
    <definedName name="TR23EXP" localSheetId="6">#REF!</definedName>
    <definedName name="TR23EXP" localSheetId="7">#REF!</definedName>
    <definedName name="TR23EXP" localSheetId="14">#REF!</definedName>
    <definedName name="TR23EXP" localSheetId="8">#REF!</definedName>
    <definedName name="TR23EXP" localSheetId="9">#REF!</definedName>
    <definedName name="TR23EXP" localSheetId="10">#REF!</definedName>
    <definedName name="TR23EXP" localSheetId="11">#REF!</definedName>
    <definedName name="TR23EXP" localSheetId="13">#REF!</definedName>
    <definedName name="TR23EXP" localSheetId="15">#REF!</definedName>
    <definedName name="TR23EXP" localSheetId="16">#REF!</definedName>
    <definedName name="TR23EXP" localSheetId="17">#REF!</definedName>
    <definedName name="TR23EXP">#REF!</definedName>
    <definedName name="TR23PSZ" localSheetId="0">#REF!</definedName>
    <definedName name="TR23PSZ" localSheetId="2">#REF!</definedName>
    <definedName name="TR23PSZ" localSheetId="3">#REF!</definedName>
    <definedName name="TR23PSZ" localSheetId="4">#REF!</definedName>
    <definedName name="TR23PSZ" localSheetId="5">#REF!</definedName>
    <definedName name="TR23PSZ" localSheetId="6">#REF!</definedName>
    <definedName name="TR23PSZ" localSheetId="7">#REF!</definedName>
    <definedName name="TR23PSZ" localSheetId="14">#REF!</definedName>
    <definedName name="TR23PSZ" localSheetId="8">#REF!</definedName>
    <definedName name="TR23PSZ" localSheetId="9">#REF!</definedName>
    <definedName name="TR23PSZ" localSheetId="10">#REF!</definedName>
    <definedName name="TR23PSZ" localSheetId="11">#REF!</definedName>
    <definedName name="TR23PSZ" localSheetId="13">#REF!</definedName>
    <definedName name="TR23PSZ" localSheetId="15">#REF!</definedName>
    <definedName name="TR23PSZ" localSheetId="16">#REF!</definedName>
    <definedName name="TR23PSZ" localSheetId="17">#REF!</definedName>
    <definedName name="TR23PSZ">#REF!</definedName>
    <definedName name="TR23S" localSheetId="0">#REF!</definedName>
    <definedName name="TR23S" localSheetId="2">#REF!</definedName>
    <definedName name="TR23S" localSheetId="3">#REF!</definedName>
    <definedName name="TR23S" localSheetId="4">#REF!</definedName>
    <definedName name="TR23S" localSheetId="5">#REF!</definedName>
    <definedName name="TR23S" localSheetId="6">#REF!</definedName>
    <definedName name="TR23S" localSheetId="7">#REF!</definedName>
    <definedName name="TR23S" localSheetId="14">#REF!</definedName>
    <definedName name="TR23S" localSheetId="8">#REF!</definedName>
    <definedName name="TR23S" localSheetId="9">#REF!</definedName>
    <definedName name="TR23S" localSheetId="10">#REF!</definedName>
    <definedName name="TR23S" localSheetId="11">#REF!</definedName>
    <definedName name="TR23S" localSheetId="13">#REF!</definedName>
    <definedName name="TR23S" localSheetId="15">#REF!</definedName>
    <definedName name="TR23S" localSheetId="16">#REF!</definedName>
    <definedName name="TR23S" localSheetId="17">#REF!</definedName>
    <definedName name="TR23S">#REF!</definedName>
    <definedName name="TR23ST" localSheetId="0">#REF!</definedName>
    <definedName name="TR23ST" localSheetId="2">#REF!</definedName>
    <definedName name="TR23ST" localSheetId="3">#REF!</definedName>
    <definedName name="TR23ST" localSheetId="4">#REF!</definedName>
    <definedName name="TR23ST" localSheetId="5">#REF!</definedName>
    <definedName name="TR23ST" localSheetId="6">#REF!</definedName>
    <definedName name="TR23ST" localSheetId="7">#REF!</definedName>
    <definedName name="TR23ST" localSheetId="14">#REF!</definedName>
    <definedName name="TR23ST" localSheetId="8">#REF!</definedName>
    <definedName name="TR23ST" localSheetId="9">#REF!</definedName>
    <definedName name="TR23ST" localSheetId="10">#REF!</definedName>
    <definedName name="TR23ST" localSheetId="11">#REF!</definedName>
    <definedName name="TR23ST" localSheetId="13">#REF!</definedName>
    <definedName name="TR23ST" localSheetId="15">#REF!</definedName>
    <definedName name="TR23ST" localSheetId="16">#REF!</definedName>
    <definedName name="TR23ST" localSheetId="17">#REF!</definedName>
    <definedName name="TR23ST">#REF!</definedName>
    <definedName name="TR23Y" localSheetId="0">#REF!</definedName>
    <definedName name="TR23Y" localSheetId="2">#REF!</definedName>
    <definedName name="TR23Y" localSheetId="3">#REF!</definedName>
    <definedName name="TR23Y" localSheetId="4">#REF!</definedName>
    <definedName name="TR23Y" localSheetId="5">#REF!</definedName>
    <definedName name="TR23Y" localSheetId="6">#REF!</definedName>
    <definedName name="TR23Y" localSheetId="7">#REF!</definedName>
    <definedName name="TR23Y" localSheetId="14">#REF!</definedName>
    <definedName name="TR23Y" localSheetId="8">#REF!</definedName>
    <definedName name="TR23Y" localSheetId="9">#REF!</definedName>
    <definedName name="TR23Y" localSheetId="10">#REF!</definedName>
    <definedName name="TR23Y" localSheetId="11">#REF!</definedName>
    <definedName name="TR23Y" localSheetId="13">#REF!</definedName>
    <definedName name="TR23Y" localSheetId="15">#REF!</definedName>
    <definedName name="TR23Y" localSheetId="16">#REF!</definedName>
    <definedName name="TR23Y" localSheetId="17">#REF!</definedName>
    <definedName name="TR23Y">#REF!</definedName>
    <definedName name="TR8B" localSheetId="0">#REF!</definedName>
    <definedName name="TR8B" localSheetId="2">#REF!</definedName>
    <definedName name="TR8B" localSheetId="3">#REF!</definedName>
    <definedName name="TR8B" localSheetId="4">#REF!</definedName>
    <definedName name="TR8B" localSheetId="5">#REF!</definedName>
    <definedName name="TR8B" localSheetId="6">#REF!</definedName>
    <definedName name="TR8B" localSheetId="7">#REF!</definedName>
    <definedName name="TR8B" localSheetId="14">#REF!</definedName>
    <definedName name="TR8B" localSheetId="8">#REF!</definedName>
    <definedName name="TR8B" localSheetId="9">#REF!</definedName>
    <definedName name="TR8B" localSheetId="10">#REF!</definedName>
    <definedName name="TR8B" localSheetId="11">#REF!</definedName>
    <definedName name="TR8B" localSheetId="13">#REF!</definedName>
    <definedName name="TR8B" localSheetId="15">#REF!</definedName>
    <definedName name="TR8B" localSheetId="16">#REF!</definedName>
    <definedName name="TR8B" localSheetId="17">#REF!</definedName>
    <definedName name="TR8B">#REF!</definedName>
    <definedName name="TR8EXP" localSheetId="0">#REF!</definedName>
    <definedName name="TR8EXP" localSheetId="2">#REF!</definedName>
    <definedName name="TR8EXP" localSheetId="3">#REF!</definedName>
    <definedName name="TR8EXP" localSheetId="4">#REF!</definedName>
    <definedName name="TR8EXP" localSheetId="5">#REF!</definedName>
    <definedName name="TR8EXP" localSheetId="6">#REF!</definedName>
    <definedName name="TR8EXP" localSheetId="7">#REF!</definedName>
    <definedName name="TR8EXP" localSheetId="14">#REF!</definedName>
    <definedName name="TR8EXP" localSheetId="8">#REF!</definedName>
    <definedName name="TR8EXP" localSheetId="9">#REF!</definedName>
    <definedName name="TR8EXP" localSheetId="10">#REF!</definedName>
    <definedName name="TR8EXP" localSheetId="11">#REF!</definedName>
    <definedName name="TR8EXP" localSheetId="13">#REF!</definedName>
    <definedName name="TR8EXP" localSheetId="15">#REF!</definedName>
    <definedName name="TR8EXP" localSheetId="16">#REF!</definedName>
    <definedName name="TR8EXP" localSheetId="17">#REF!</definedName>
    <definedName name="TR8EXP">#REF!</definedName>
    <definedName name="TR8PSZ" localSheetId="0">#REF!</definedName>
    <definedName name="TR8PSZ" localSheetId="2">#REF!</definedName>
    <definedName name="TR8PSZ" localSheetId="3">#REF!</definedName>
    <definedName name="TR8PSZ" localSheetId="4">#REF!</definedName>
    <definedName name="TR8PSZ" localSheetId="5">#REF!</definedName>
    <definedName name="TR8PSZ" localSheetId="6">#REF!</definedName>
    <definedName name="TR8PSZ" localSheetId="7">#REF!</definedName>
    <definedName name="TR8PSZ" localSheetId="14">#REF!</definedName>
    <definedName name="TR8PSZ" localSheetId="8">#REF!</definedName>
    <definedName name="TR8PSZ" localSheetId="9">#REF!</definedName>
    <definedName name="TR8PSZ" localSheetId="10">#REF!</definedName>
    <definedName name="TR8PSZ" localSheetId="11">#REF!</definedName>
    <definedName name="TR8PSZ" localSheetId="13">#REF!</definedName>
    <definedName name="TR8PSZ" localSheetId="15">#REF!</definedName>
    <definedName name="TR8PSZ" localSheetId="16">#REF!</definedName>
    <definedName name="TR8PSZ" localSheetId="17">#REF!</definedName>
    <definedName name="TR8PSZ">#REF!</definedName>
    <definedName name="TR8S" localSheetId="0">#REF!</definedName>
    <definedName name="TR8S" localSheetId="2">#REF!</definedName>
    <definedName name="TR8S" localSheetId="3">#REF!</definedName>
    <definedName name="TR8S" localSheetId="4">#REF!</definedName>
    <definedName name="TR8S" localSheetId="5">#REF!</definedName>
    <definedName name="TR8S" localSheetId="6">#REF!</definedName>
    <definedName name="TR8S" localSheetId="7">#REF!</definedName>
    <definedName name="TR8S" localSheetId="14">#REF!</definedName>
    <definedName name="TR8S" localSheetId="8">#REF!</definedName>
    <definedName name="TR8S" localSheetId="9">#REF!</definedName>
    <definedName name="TR8S" localSheetId="10">#REF!</definedName>
    <definedName name="TR8S" localSheetId="11">#REF!</definedName>
    <definedName name="TR8S" localSheetId="13">#REF!</definedName>
    <definedName name="TR8S" localSheetId="15">#REF!</definedName>
    <definedName name="TR8S" localSheetId="16">#REF!</definedName>
    <definedName name="TR8S" localSheetId="17">#REF!</definedName>
    <definedName name="TR8S">#REF!</definedName>
    <definedName name="TR8ST" localSheetId="0">#REF!</definedName>
    <definedName name="TR8ST" localSheetId="2">#REF!</definedName>
    <definedName name="TR8ST" localSheetId="3">#REF!</definedName>
    <definedName name="TR8ST" localSheetId="4">#REF!</definedName>
    <definedName name="TR8ST" localSheetId="5">#REF!</definedName>
    <definedName name="TR8ST" localSheetId="6">#REF!</definedName>
    <definedName name="TR8ST" localSheetId="7">#REF!</definedName>
    <definedName name="TR8ST" localSheetId="14">#REF!</definedName>
    <definedName name="TR8ST" localSheetId="8">#REF!</definedName>
    <definedName name="TR8ST" localSheetId="9">#REF!</definedName>
    <definedName name="TR8ST" localSheetId="10">#REF!</definedName>
    <definedName name="TR8ST" localSheetId="11">#REF!</definedName>
    <definedName name="TR8ST" localSheetId="13">#REF!</definedName>
    <definedName name="TR8ST" localSheetId="15">#REF!</definedName>
    <definedName name="TR8ST" localSheetId="16">#REF!</definedName>
    <definedName name="TR8ST" localSheetId="17">#REF!</definedName>
    <definedName name="TR8ST">#REF!</definedName>
    <definedName name="TR8Y" localSheetId="0">#REF!</definedName>
    <definedName name="TR8Y" localSheetId="2">#REF!</definedName>
    <definedName name="TR8Y" localSheetId="3">#REF!</definedName>
    <definedName name="TR8Y" localSheetId="4">#REF!</definedName>
    <definedName name="TR8Y" localSheetId="5">#REF!</definedName>
    <definedName name="TR8Y" localSheetId="6">#REF!</definedName>
    <definedName name="TR8Y" localSheetId="7">#REF!</definedName>
    <definedName name="TR8Y" localSheetId="14">#REF!</definedName>
    <definedName name="TR8Y" localSheetId="8">#REF!</definedName>
    <definedName name="TR8Y" localSheetId="9">#REF!</definedName>
    <definedName name="TR8Y" localSheetId="10">#REF!</definedName>
    <definedName name="TR8Y" localSheetId="11">#REF!</definedName>
    <definedName name="TR8Y" localSheetId="13">#REF!</definedName>
    <definedName name="TR8Y" localSheetId="15">#REF!</definedName>
    <definedName name="TR8Y" localSheetId="16">#REF!</definedName>
    <definedName name="TR8Y" localSheetId="17">#REF!</definedName>
    <definedName name="TR8Y">#REF!</definedName>
    <definedName name="TR9B" localSheetId="0">#REF!</definedName>
    <definedName name="TR9B" localSheetId="2">#REF!</definedName>
    <definedName name="TR9B" localSheetId="3">#REF!</definedName>
    <definedName name="TR9B" localSheetId="4">#REF!</definedName>
    <definedName name="TR9B" localSheetId="5">#REF!</definedName>
    <definedName name="TR9B" localSheetId="6">#REF!</definedName>
    <definedName name="TR9B" localSheetId="7">#REF!</definedName>
    <definedName name="TR9B" localSheetId="14">#REF!</definedName>
    <definedName name="TR9B" localSheetId="8">#REF!</definedName>
    <definedName name="TR9B" localSheetId="9">#REF!</definedName>
    <definedName name="TR9B" localSheetId="10">#REF!</definedName>
    <definedName name="TR9B" localSheetId="11">#REF!</definedName>
    <definedName name="TR9B" localSheetId="13">#REF!</definedName>
    <definedName name="TR9B" localSheetId="15">#REF!</definedName>
    <definedName name="TR9B" localSheetId="16">#REF!</definedName>
    <definedName name="TR9B" localSheetId="17">#REF!</definedName>
    <definedName name="TR9B">#REF!</definedName>
    <definedName name="TR9EXP" localSheetId="0">#REF!</definedName>
    <definedName name="TR9EXP" localSheetId="2">#REF!</definedName>
    <definedName name="TR9EXP" localSheetId="3">#REF!</definedName>
    <definedName name="TR9EXP" localSheetId="4">#REF!</definedName>
    <definedName name="TR9EXP" localSheetId="5">#REF!</definedName>
    <definedName name="TR9EXP" localSheetId="6">#REF!</definedName>
    <definedName name="TR9EXP" localSheetId="7">#REF!</definedName>
    <definedName name="TR9EXP" localSheetId="14">#REF!</definedName>
    <definedName name="TR9EXP" localSheetId="8">#REF!</definedName>
    <definedName name="TR9EXP" localSheetId="9">#REF!</definedName>
    <definedName name="TR9EXP" localSheetId="10">#REF!</definedName>
    <definedName name="TR9EXP" localSheetId="11">#REF!</definedName>
    <definedName name="TR9EXP" localSheetId="13">#REF!</definedName>
    <definedName name="TR9EXP" localSheetId="15">#REF!</definedName>
    <definedName name="TR9EXP" localSheetId="16">#REF!</definedName>
    <definedName name="TR9EXP" localSheetId="17">#REF!</definedName>
    <definedName name="TR9EXP">#REF!</definedName>
    <definedName name="TR9PSZ" localSheetId="0">#REF!</definedName>
    <definedName name="TR9PSZ" localSheetId="2">#REF!</definedName>
    <definedName name="TR9PSZ" localSheetId="3">#REF!</definedName>
    <definedName name="TR9PSZ" localSheetId="4">#REF!</definedName>
    <definedName name="TR9PSZ" localSheetId="5">#REF!</definedName>
    <definedName name="TR9PSZ" localSheetId="6">#REF!</definedName>
    <definedName name="TR9PSZ" localSheetId="7">#REF!</definedName>
    <definedName name="TR9PSZ" localSheetId="14">#REF!</definedName>
    <definedName name="TR9PSZ" localSheetId="8">#REF!</definedName>
    <definedName name="TR9PSZ" localSheetId="9">#REF!</definedName>
    <definedName name="TR9PSZ" localSheetId="10">#REF!</definedName>
    <definedName name="TR9PSZ" localSheetId="11">#REF!</definedName>
    <definedName name="TR9PSZ" localSheetId="13">#REF!</definedName>
    <definedName name="TR9PSZ" localSheetId="15">#REF!</definedName>
    <definedName name="TR9PSZ" localSheetId="16">#REF!</definedName>
    <definedName name="TR9PSZ" localSheetId="17">#REF!</definedName>
    <definedName name="TR9PSZ">#REF!</definedName>
    <definedName name="TR9S" localSheetId="0">#REF!</definedName>
    <definedName name="TR9S" localSheetId="2">#REF!</definedName>
    <definedName name="TR9S" localSheetId="3">#REF!</definedName>
    <definedName name="TR9S" localSheetId="4">#REF!</definedName>
    <definedName name="TR9S" localSheetId="5">#REF!</definedName>
    <definedName name="TR9S" localSheetId="6">#REF!</definedName>
    <definedName name="TR9S" localSheetId="7">#REF!</definedName>
    <definedName name="TR9S" localSheetId="14">#REF!</definedName>
    <definedName name="TR9S" localSheetId="8">#REF!</definedName>
    <definedName name="TR9S" localSheetId="9">#REF!</definedName>
    <definedName name="TR9S" localSheetId="10">#REF!</definedName>
    <definedName name="TR9S" localSheetId="11">#REF!</definedName>
    <definedName name="TR9S" localSheetId="13">#REF!</definedName>
    <definedName name="TR9S" localSheetId="15">#REF!</definedName>
    <definedName name="TR9S" localSheetId="16">#REF!</definedName>
    <definedName name="TR9S" localSheetId="17">#REF!</definedName>
    <definedName name="TR9S">#REF!</definedName>
    <definedName name="TR9ST" localSheetId="0">#REF!</definedName>
    <definedName name="TR9ST" localSheetId="2">#REF!</definedName>
    <definedName name="TR9ST" localSheetId="3">#REF!</definedName>
    <definedName name="TR9ST" localSheetId="4">#REF!</definedName>
    <definedName name="TR9ST" localSheetId="5">#REF!</definedName>
    <definedName name="TR9ST" localSheetId="6">#REF!</definedName>
    <definedName name="TR9ST" localSheetId="7">#REF!</definedName>
    <definedName name="TR9ST" localSheetId="14">#REF!</definedName>
    <definedName name="TR9ST" localSheetId="8">#REF!</definedName>
    <definedName name="TR9ST" localSheetId="9">#REF!</definedName>
    <definedName name="TR9ST" localSheetId="10">#REF!</definedName>
    <definedName name="TR9ST" localSheetId="11">#REF!</definedName>
    <definedName name="TR9ST" localSheetId="13">#REF!</definedName>
    <definedName name="TR9ST" localSheetId="15">#REF!</definedName>
    <definedName name="TR9ST" localSheetId="16">#REF!</definedName>
    <definedName name="TR9ST" localSheetId="17">#REF!</definedName>
    <definedName name="TR9ST">#REF!</definedName>
    <definedName name="TR9Y" localSheetId="0">#REF!</definedName>
    <definedName name="TR9Y" localSheetId="2">#REF!</definedName>
    <definedName name="TR9Y" localSheetId="3">#REF!</definedName>
    <definedName name="TR9Y" localSheetId="4">#REF!</definedName>
    <definedName name="TR9Y" localSheetId="5">#REF!</definedName>
    <definedName name="TR9Y" localSheetId="6">#REF!</definedName>
    <definedName name="TR9Y" localSheetId="7">#REF!</definedName>
    <definedName name="TR9Y" localSheetId="14">#REF!</definedName>
    <definedName name="TR9Y" localSheetId="8">#REF!</definedName>
    <definedName name="TR9Y" localSheetId="9">#REF!</definedName>
    <definedName name="TR9Y" localSheetId="10">#REF!</definedName>
    <definedName name="TR9Y" localSheetId="11">#REF!</definedName>
    <definedName name="TR9Y" localSheetId="13">#REF!</definedName>
    <definedName name="TR9Y" localSheetId="15">#REF!</definedName>
    <definedName name="TR9Y" localSheetId="16">#REF!</definedName>
    <definedName name="TR9Y" localSheetId="17">#REF!</definedName>
    <definedName name="TR9Y">#REF!</definedName>
    <definedName name="TRUD1" localSheetId="0">#REF!</definedName>
    <definedName name="TRUD1" localSheetId="2">#REF!</definedName>
    <definedName name="TRUD1" localSheetId="3">#REF!</definedName>
    <definedName name="TRUD1" localSheetId="4">#REF!</definedName>
    <definedName name="TRUD1" localSheetId="5">#REF!</definedName>
    <definedName name="TRUD1" localSheetId="6">#REF!</definedName>
    <definedName name="TRUD1" localSheetId="7">#REF!</definedName>
    <definedName name="TRUD1" localSheetId="14">#REF!</definedName>
    <definedName name="TRUD1" localSheetId="8">#REF!</definedName>
    <definedName name="TRUD1" localSheetId="9">#REF!</definedName>
    <definedName name="TRUD1" localSheetId="10">#REF!</definedName>
    <definedName name="TRUD1" localSheetId="11">#REF!</definedName>
    <definedName name="TRUD1" localSheetId="13">#REF!</definedName>
    <definedName name="TRUD1" localSheetId="15">#REF!</definedName>
    <definedName name="TRUD1" localSheetId="16">#REF!</definedName>
    <definedName name="TRUD1" localSheetId="17">#REF!</definedName>
    <definedName name="TRUD1">#REF!</definedName>
    <definedName name="TRUD1_EXP" localSheetId="0">#REF!</definedName>
    <definedName name="TRUD1_EXP" localSheetId="2">#REF!</definedName>
    <definedName name="TRUD1_EXP" localSheetId="3">#REF!</definedName>
    <definedName name="TRUD1_EXP" localSheetId="4">#REF!</definedName>
    <definedName name="TRUD1_EXP" localSheetId="5">#REF!</definedName>
    <definedName name="TRUD1_EXP" localSheetId="6">#REF!</definedName>
    <definedName name="TRUD1_EXP" localSheetId="7">#REF!</definedName>
    <definedName name="TRUD1_EXP" localSheetId="14">#REF!</definedName>
    <definedName name="TRUD1_EXP" localSheetId="8">#REF!</definedName>
    <definedName name="TRUD1_EXP" localSheetId="9">#REF!</definedName>
    <definedName name="TRUD1_EXP" localSheetId="10">#REF!</definedName>
    <definedName name="TRUD1_EXP" localSheetId="11">#REF!</definedName>
    <definedName name="TRUD1_EXP" localSheetId="13">#REF!</definedName>
    <definedName name="TRUD1_EXP" localSheetId="15">#REF!</definedName>
    <definedName name="TRUD1_EXP" localSheetId="16">#REF!</definedName>
    <definedName name="TRUD1_EXP" localSheetId="17">#REF!</definedName>
    <definedName name="TRUD1_EXP">#REF!</definedName>
    <definedName name="_xlnm.Print_Titles" localSheetId="0">'10 (10д) ДЗП 2018'!$A:$C,'10 (10д) ДЗП 2018'!$8:$14</definedName>
    <definedName name="_xlnm.Print_Titles" localSheetId="2">'10 (10д) ДЗП 2019'!$A:$C,'10 (10д) ДЗП 2019'!$8:$14</definedName>
    <definedName name="_xlnm.Print_Titles" localSheetId="3">'10 (10д) ДЗП 2020'!$A:$C,'10 (10д) ДЗП 2020'!$8:$14</definedName>
    <definedName name="_xlnm.Print_Titles" localSheetId="4">'10 (10д) ДЗП 2021'!$A:$C,'10 (10д) ДЗП 2021'!$8:$14</definedName>
    <definedName name="_xlnm.Print_Titles" localSheetId="5">'10 (10д) ДЗП 2022'!$A:$C,'10 (10д) ДЗП 2022'!$8:$14</definedName>
    <definedName name="_xlnm.Print_Titles" localSheetId="11">'22.2д труд'!$5:$8</definedName>
    <definedName name="_xlnm.Print_Area" localSheetId="0">'10 (10д) ДЗП 2018'!$A$1:$F$41</definedName>
    <definedName name="_xlnm.Print_Area" localSheetId="2">'10 (10д) ДЗП 2019'!$A$1:$F$41</definedName>
    <definedName name="_xlnm.Print_Area" localSheetId="3">'10 (10д) ДЗП 2020'!$A$1:$F$41</definedName>
    <definedName name="_xlnm.Print_Area" localSheetId="4">'10 (10д) ДЗП 2021'!$A$1:$F$41</definedName>
    <definedName name="_xlnm.Print_Area" localSheetId="5">'10 (10д) ДЗП 2022'!$A$1:$F$41</definedName>
    <definedName name="_xlnm.Print_Area" localSheetId="6">'11дОПР'!$A$1:$X$27</definedName>
    <definedName name="_xlnm.Print_Area" localSheetId="7">'12дОХР'!$A$1:$X$27</definedName>
    <definedName name="_xlnm.Print_Area" localSheetId="14">'21д свед. об V поставки'!$A$1:$AM$158</definedName>
    <definedName name="_xlnm.Print_Area" localSheetId="8">'22.1 (22.1д) прот норм (2020)'!$A$1:$E$35</definedName>
    <definedName name="_xlnm.Print_Area" localSheetId="9">'22.1 (22.1д) прот норм (2021)'!$A$1:$E$35</definedName>
    <definedName name="_xlnm.Print_Area" localSheetId="10">'22.1 (22.1д) прот норм (2022)'!$A$1:$E$35</definedName>
    <definedName name="_xlnm.Print_Area" localSheetId="11">'22.2д труд'!$A$1:$AP$27</definedName>
    <definedName name="юбь" localSheetId="0">#REF!</definedName>
    <definedName name="юбь" localSheetId="2">#REF!</definedName>
    <definedName name="юбь" localSheetId="3">#REF!</definedName>
    <definedName name="юбь" localSheetId="4">#REF!</definedName>
    <definedName name="юбь" localSheetId="5">#REF!</definedName>
    <definedName name="юбь" localSheetId="6">#REF!</definedName>
    <definedName name="юбь" localSheetId="7">#REF!</definedName>
    <definedName name="юбь" localSheetId="14">#REF!</definedName>
    <definedName name="юбь" localSheetId="8">#REF!</definedName>
    <definedName name="юбь" localSheetId="9">#REF!</definedName>
    <definedName name="юбь" localSheetId="10">#REF!</definedName>
    <definedName name="юбь" localSheetId="11">#REF!</definedName>
    <definedName name="юбь" localSheetId="13">#REF!</definedName>
    <definedName name="юбь" localSheetId="15">#REF!</definedName>
    <definedName name="юбь" localSheetId="16">#REF!</definedName>
    <definedName name="юбь" localSheetId="17">#REF!</definedName>
    <definedName name="юбь">#REF!</definedName>
  </definedNames>
  <calcPr calcId="145621" fullPrecision="0"/>
</workbook>
</file>

<file path=xl/calcChain.xml><?xml version="1.0" encoding="utf-8"?>
<calcChain xmlns="http://schemas.openxmlformats.org/spreadsheetml/2006/main">
  <c r="C32" i="51" l="1"/>
  <c r="E31" i="51"/>
  <c r="E30" i="51"/>
  <c r="E29" i="51"/>
  <c r="E28" i="51"/>
  <c r="E27" i="51"/>
  <c r="E26" i="51"/>
  <c r="E25" i="51"/>
  <c r="E24" i="51"/>
  <c r="E23" i="51"/>
  <c r="E22" i="51"/>
  <c r="E21" i="51"/>
  <c r="E20" i="51"/>
  <c r="E19" i="51"/>
  <c r="F10" i="51"/>
  <c r="F18" i="51" s="1"/>
  <c r="F32" i="51" s="1"/>
  <c r="E10" i="51"/>
  <c r="E11" i="51" s="1"/>
  <c r="D10" i="51"/>
  <c r="D18" i="51" s="1"/>
  <c r="F9" i="51"/>
  <c r="D9" i="51"/>
  <c r="E9" i="51" s="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C32" i="50"/>
  <c r="F10" i="50"/>
  <c r="F11" i="50" s="1"/>
  <c r="D10" i="50"/>
  <c r="D18" i="50" s="1"/>
  <c r="D32" i="50" s="1"/>
  <c r="F9" i="50"/>
  <c r="D9" i="50"/>
  <c r="D32" i="51" l="1"/>
  <c r="E18" i="51"/>
  <c r="E32" i="51" s="1"/>
  <c r="D11" i="51"/>
  <c r="F11" i="51"/>
  <c r="F18" i="50"/>
  <c r="F32" i="50" s="1"/>
  <c r="D11" i="50"/>
  <c r="F20" i="43"/>
  <c r="AK19" i="42" l="1"/>
  <c r="AK15" i="42"/>
  <c r="AF19" i="42"/>
  <c r="AF15" i="42"/>
  <c r="AA15" i="42"/>
  <c r="AA19" i="42"/>
  <c r="V15" i="42"/>
  <c r="G15" i="42"/>
  <c r="G19" i="42"/>
  <c r="G16" i="44" l="1"/>
  <c r="H16" i="43"/>
  <c r="K16" i="34"/>
  <c r="M16" i="33"/>
  <c r="D32" i="44" l="1"/>
  <c r="J29" i="2"/>
  <c r="AF31" i="41"/>
  <c r="AH29" i="41"/>
  <c r="AH31" i="41"/>
  <c r="AD31" i="41"/>
  <c r="AB31" i="41" s="1"/>
  <c r="AD29" i="41"/>
  <c r="Z29" i="41"/>
  <c r="Z31" i="41"/>
  <c r="P31" i="41"/>
  <c r="P29" i="41"/>
  <c r="U15" i="40"/>
  <c r="T13" i="40"/>
  <c r="R15" i="40"/>
  <c r="R13" i="40"/>
  <c r="Q13" i="40"/>
  <c r="O15" i="40"/>
  <c r="O12" i="40"/>
  <c r="N15" i="40"/>
  <c r="L12" i="40"/>
  <c r="K15" i="40"/>
  <c r="N12" i="40"/>
  <c r="K12" i="40"/>
  <c r="U14" i="39"/>
  <c r="T14" i="39"/>
  <c r="R14" i="39"/>
  <c r="Q14" i="39"/>
  <c r="O13" i="39"/>
  <c r="O14" i="39"/>
  <c r="N14" i="39"/>
  <c r="N12" i="39"/>
  <c r="K14" i="39"/>
  <c r="K13" i="39"/>
  <c r="K12" i="39"/>
  <c r="AF13" i="42" l="1"/>
  <c r="AB13" i="42"/>
  <c r="AA13" i="42"/>
  <c r="X13" i="42"/>
  <c r="W13" i="42"/>
  <c r="E8" i="44"/>
  <c r="E7" i="44"/>
  <c r="C29" i="44"/>
  <c r="A9" i="43"/>
  <c r="E8" i="43"/>
  <c r="E7" i="43"/>
  <c r="C29" i="43"/>
  <c r="C29" i="34"/>
  <c r="D29" i="33"/>
  <c r="C30" i="2"/>
  <c r="C29" i="2"/>
  <c r="K11" i="33"/>
  <c r="G27" i="43"/>
  <c r="G20" i="43"/>
  <c r="G12" i="43"/>
  <c r="G9" i="43"/>
  <c r="G8" i="43"/>
  <c r="G7" i="43"/>
  <c r="F11" i="43"/>
  <c r="F12" i="43"/>
  <c r="F9" i="43"/>
  <c r="F8" i="43"/>
  <c r="F7" i="43"/>
  <c r="F24" i="43"/>
  <c r="F22" i="43"/>
  <c r="F14" i="43"/>
  <c r="F4" i="43"/>
  <c r="F1" i="43"/>
  <c r="F8" i="34"/>
  <c r="F6" i="43" l="1"/>
  <c r="F10" i="43" l="1"/>
  <c r="F13" i="43" s="1"/>
  <c r="F17" i="43" s="1"/>
  <c r="D31" i="41" l="1"/>
  <c r="F31" i="41" s="1"/>
  <c r="F26" i="41" s="1"/>
  <c r="K13" i="40"/>
  <c r="D19" i="40"/>
  <c r="D20" i="40"/>
  <c r="C20" i="40"/>
  <c r="C19" i="40"/>
  <c r="K11" i="39"/>
  <c r="D19" i="39"/>
  <c r="J11" i="2"/>
  <c r="J9" i="2"/>
  <c r="J8" i="2"/>
  <c r="J7" i="2"/>
  <c r="J12" i="2"/>
  <c r="D18" i="39"/>
  <c r="E12" i="44"/>
  <c r="C12" i="44" s="1"/>
  <c r="E11" i="44"/>
  <c r="C11" i="44" s="1"/>
  <c r="U19" i="40" s="1"/>
  <c r="E9" i="44"/>
  <c r="C9" i="44" s="1"/>
  <c r="C8" i="44"/>
  <c r="C7" i="44"/>
  <c r="E12" i="43"/>
  <c r="E11" i="43"/>
  <c r="E10" i="43" s="1"/>
  <c r="E9" i="43"/>
  <c r="F12" i="34"/>
  <c r="F11" i="34"/>
  <c r="E6" i="44"/>
  <c r="E6" i="43"/>
  <c r="F6" i="34"/>
  <c r="F9" i="34" s="1"/>
  <c r="G9" i="33"/>
  <c r="G12" i="33"/>
  <c r="G11" i="33"/>
  <c r="G6" i="33"/>
  <c r="F6" i="2"/>
  <c r="F10" i="2"/>
  <c r="F9" i="2"/>
  <c r="F13" i="2" s="1"/>
  <c r="F17" i="2" s="1"/>
  <c r="F12" i="2"/>
  <c r="F11" i="2"/>
  <c r="C8" i="2"/>
  <c r="C7" i="2"/>
  <c r="P26" i="41"/>
  <c r="AF29" i="41"/>
  <c r="AB29" i="41"/>
  <c r="AB26" i="41" s="1"/>
  <c r="X29" i="41"/>
  <c r="L29" i="41"/>
  <c r="Z26" i="41"/>
  <c r="R26" i="41"/>
  <c r="L26" i="41"/>
  <c r="D26" i="41"/>
  <c r="AH26" i="41" l="1"/>
  <c r="AF26" i="41"/>
  <c r="E10" i="44"/>
  <c r="E13" i="44" s="1"/>
  <c r="E17" i="44" s="1"/>
  <c r="E13" i="43"/>
  <c r="E17" i="43" s="1"/>
  <c r="F10" i="34"/>
  <c r="F13" i="34" s="1"/>
  <c r="F17" i="34" s="1"/>
  <c r="U18" i="39"/>
  <c r="G10" i="33"/>
  <c r="G13" i="33" s="1"/>
  <c r="G17" i="33" s="1"/>
  <c r="AD26" i="41"/>
  <c r="C10" i="44" l="1"/>
  <c r="N11" i="39" l="1"/>
  <c r="N13" i="39"/>
  <c r="C13" i="39"/>
  <c r="C11" i="39"/>
  <c r="C15" i="40"/>
  <c r="C14" i="40"/>
  <c r="C11" i="40"/>
  <c r="C12" i="40"/>
  <c r="C13" i="40"/>
  <c r="J20" i="2"/>
  <c r="J5" i="2"/>
  <c r="J25" i="2" l="1"/>
  <c r="R118" i="41"/>
  <c r="E1" i="2"/>
  <c r="P104" i="41"/>
  <c r="P129" i="41" s="1"/>
  <c r="P102" i="41"/>
  <c r="R93" i="41"/>
  <c r="R66" i="41"/>
  <c r="P66" i="41"/>
  <c r="P127" i="41"/>
  <c r="AH118" i="41"/>
  <c r="K11" i="40"/>
  <c r="T102" i="41"/>
  <c r="AH93" i="41"/>
  <c r="T104" i="41"/>
  <c r="X104" i="41" s="1"/>
  <c r="AB104" i="41" s="1"/>
  <c r="AF104" i="41" s="1"/>
  <c r="Z66" i="41"/>
  <c r="X66" i="41"/>
  <c r="AH66" i="41"/>
  <c r="AB66" i="41"/>
  <c r="AF66" i="41" s="1"/>
  <c r="V66" i="41"/>
  <c r="T66" i="41"/>
  <c r="M20" i="33"/>
  <c r="N13" i="40"/>
  <c r="N11" i="40"/>
  <c r="AK17" i="42"/>
  <c r="AG17" i="42"/>
  <c r="AF17" i="42"/>
  <c r="AB17" i="42"/>
  <c r="G20" i="44"/>
  <c r="H20" i="43"/>
  <c r="K20" i="34"/>
  <c r="H25" i="43"/>
  <c r="K25" i="34"/>
  <c r="W17" i="42" s="1"/>
  <c r="M25" i="33"/>
  <c r="M7" i="33"/>
  <c r="M8" i="33" s="1"/>
  <c r="M1" i="33"/>
  <c r="AH140" i="41" l="1"/>
  <c r="R130" i="41"/>
  <c r="R140" i="41"/>
  <c r="R144" i="41" s="1"/>
  <c r="X102" i="41"/>
  <c r="AJ17" i="42" l="1"/>
  <c r="AJ18" i="42" s="1"/>
  <c r="AG12" i="42"/>
  <c r="AJ12" i="42" s="1"/>
  <c r="AJ15" i="42" s="1"/>
  <c r="AB12" i="42"/>
  <c r="AI18" i="42"/>
  <c r="AI15" i="42"/>
  <c r="AI19" i="42" s="1"/>
  <c r="W14" i="42"/>
  <c r="W12" i="42"/>
  <c r="S14" i="42"/>
  <c r="S13" i="42"/>
  <c r="S12" i="42"/>
  <c r="R17" i="42"/>
  <c r="R14" i="42"/>
  <c r="R13" i="42"/>
  <c r="R12" i="42"/>
  <c r="R9" i="42"/>
  <c r="G11" i="42"/>
  <c r="G10" i="42"/>
  <c r="G9" i="42"/>
  <c r="C17" i="42"/>
  <c r="C11" i="42"/>
  <c r="C10" i="42"/>
  <c r="G16" i="42"/>
  <c r="C16" i="42"/>
  <c r="D16" i="42"/>
  <c r="AJ19" i="42" l="1"/>
  <c r="D11" i="42" l="1"/>
  <c r="D10" i="42"/>
  <c r="F17" i="42"/>
  <c r="F16" i="42"/>
  <c r="F11" i="42"/>
  <c r="F10" i="42"/>
  <c r="F9" i="42"/>
  <c r="D9" i="42"/>
  <c r="C9" i="42"/>
  <c r="AD18" i="42"/>
  <c r="AD15" i="42"/>
  <c r="AD19" i="42" s="1"/>
  <c r="AE13" i="42"/>
  <c r="AE12" i="42"/>
  <c r="Y18" i="42"/>
  <c r="Y15" i="42"/>
  <c r="Y19" i="42" s="1"/>
  <c r="Z14" i="42"/>
  <c r="Z13" i="42"/>
  <c r="Z12" i="42"/>
  <c r="U17" i="42"/>
  <c r="U14" i="42"/>
  <c r="U13" i="42"/>
  <c r="U12" i="42"/>
  <c r="U9" i="42"/>
  <c r="E18" i="42"/>
  <c r="T15" i="42"/>
  <c r="G14" i="42"/>
  <c r="F14" i="42"/>
  <c r="E14" i="42"/>
  <c r="D14" i="42"/>
  <c r="C14" i="42"/>
  <c r="G13" i="42"/>
  <c r="F13" i="42"/>
  <c r="E13" i="42"/>
  <c r="E15" i="42" s="1"/>
  <c r="E19" i="42" s="1"/>
  <c r="D13" i="42"/>
  <c r="C13" i="42"/>
  <c r="G12" i="42"/>
  <c r="F12" i="42"/>
  <c r="D12" i="42"/>
  <c r="C12" i="42"/>
  <c r="F15" i="42" l="1"/>
  <c r="F18" i="42"/>
  <c r="F19" i="42" s="1"/>
  <c r="AE15" i="42"/>
  <c r="T18" i="42"/>
  <c r="U18" i="42"/>
  <c r="X129" i="41"/>
  <c r="X127" i="41"/>
  <c r="T129" i="41"/>
  <c r="T127" i="41"/>
  <c r="D18" i="49"/>
  <c r="D22" i="49"/>
  <c r="D18" i="48"/>
  <c r="D22" i="48"/>
  <c r="T19" i="42" l="1"/>
  <c r="K16" i="2" l="1"/>
  <c r="K12" i="2"/>
  <c r="C18" i="39" s="1"/>
  <c r="C19" i="39" s="1"/>
  <c r="K11" i="2"/>
  <c r="K9" i="2"/>
  <c r="K8" i="2"/>
  <c r="K7" i="2"/>
  <c r="C16" i="2"/>
  <c r="C14" i="2"/>
  <c r="C12" i="2"/>
  <c r="C11" i="2"/>
  <c r="C9" i="2"/>
  <c r="N14" i="40"/>
  <c r="Q14" i="40" s="1"/>
  <c r="T14" i="40" s="1"/>
  <c r="I17" i="40"/>
  <c r="H17" i="40"/>
  <c r="H18" i="40" s="1"/>
  <c r="W17" i="40"/>
  <c r="W18" i="40" s="1"/>
  <c r="X17" i="40"/>
  <c r="K16" i="40"/>
  <c r="M24" i="33"/>
  <c r="J24" i="2"/>
  <c r="J4" i="2"/>
  <c r="D13" i="39" l="1"/>
  <c r="D11" i="39"/>
  <c r="T143" i="41"/>
  <c r="P118" i="41"/>
  <c r="P112" i="41" s="1"/>
  <c r="P93" i="41"/>
  <c r="P87" i="41"/>
  <c r="C10" i="2"/>
  <c r="C6" i="2"/>
  <c r="D16" i="39" l="1"/>
  <c r="Q12" i="2"/>
  <c r="Q11" i="2"/>
  <c r="P140" i="41"/>
  <c r="P144" i="41" s="1"/>
  <c r="P130" i="41"/>
  <c r="D17" i="40"/>
  <c r="K5" i="2" l="1"/>
  <c r="J14" i="2"/>
  <c r="J6" i="2" l="1"/>
  <c r="G17" i="42" l="1"/>
  <c r="G18" i="42" s="1"/>
  <c r="K6" i="2"/>
  <c r="J10" i="2"/>
  <c r="K10" i="2" s="1"/>
  <c r="P11" i="2" l="1"/>
  <c r="P12" i="2"/>
  <c r="C16" i="39"/>
  <c r="C17" i="40"/>
  <c r="K15" i="2"/>
  <c r="I27" i="2"/>
  <c r="I29" i="2" s="1"/>
  <c r="I18" i="2"/>
  <c r="D14" i="39" l="1"/>
  <c r="D12" i="39"/>
  <c r="I12" i="2"/>
  <c r="I11" i="2"/>
  <c r="I8" i="2"/>
  <c r="I7" i="2"/>
  <c r="I24" i="2"/>
  <c r="I14" i="2"/>
  <c r="K14" i="2" s="1"/>
  <c r="I4" i="2"/>
  <c r="C18" i="47"/>
  <c r="C18" i="38"/>
  <c r="I6" i="2" l="1"/>
  <c r="C18" i="46"/>
  <c r="I10" i="2" l="1"/>
  <c r="I13" i="2" s="1"/>
  <c r="I17" i="2" s="1"/>
  <c r="I22" i="2" l="1"/>
  <c r="G14" i="44" l="1"/>
  <c r="G24" i="44"/>
  <c r="G4" i="44"/>
  <c r="AE17" i="42"/>
  <c r="AE18" i="42" s="1"/>
  <c r="AE19" i="42" s="1"/>
  <c r="H14" i="43"/>
  <c r="H4" i="43"/>
  <c r="Z17" i="42"/>
  <c r="Z18" i="42" s="1"/>
  <c r="K14" i="34"/>
  <c r="K4" i="34"/>
  <c r="G1" i="44"/>
  <c r="G7" i="44" s="1"/>
  <c r="G8" i="44" s="1"/>
  <c r="G6" i="44" s="1"/>
  <c r="AK18" i="42" s="1"/>
  <c r="H1" i="43"/>
  <c r="H7" i="43" s="1"/>
  <c r="H8" i="43" s="1"/>
  <c r="H6" i="43" s="1"/>
  <c r="AF18" i="42" s="1"/>
  <c r="K1" i="34"/>
  <c r="K7" i="34" s="1"/>
  <c r="K8" i="34" s="1"/>
  <c r="K6" i="34" s="1"/>
  <c r="AA17" i="42" l="1"/>
  <c r="AA18" i="42" s="1"/>
  <c r="H24" i="43"/>
  <c r="K24" i="34"/>
  <c r="G12" i="44"/>
  <c r="G11" i="44"/>
  <c r="G9" i="44"/>
  <c r="H12" i="43"/>
  <c r="H11" i="43"/>
  <c r="H9" i="43"/>
  <c r="K12" i="34"/>
  <c r="K11" i="34"/>
  <c r="K9" i="34"/>
  <c r="E20" i="34"/>
  <c r="E9" i="34"/>
  <c r="E25" i="34"/>
  <c r="W9" i="42" s="1"/>
  <c r="Z9" i="42" s="1"/>
  <c r="Z15" i="42" s="1"/>
  <c r="Z19" i="42" s="1"/>
  <c r="E12" i="2"/>
  <c r="E11" i="2"/>
  <c r="E9" i="2"/>
  <c r="E7" i="2"/>
  <c r="G10" i="44" l="1"/>
  <c r="G13" i="44" s="1"/>
  <c r="K10" i="34"/>
  <c r="K13" i="34" s="1"/>
  <c r="H10" i="43"/>
  <c r="H13" i="43" s="1"/>
  <c r="D1" i="34"/>
  <c r="D7" i="34" s="1"/>
  <c r="G1" i="43"/>
  <c r="AC13" i="42" s="1"/>
  <c r="I1" i="34"/>
  <c r="I7" i="34" s="1"/>
  <c r="I8" i="34" s="1"/>
  <c r="C8" i="43" l="1"/>
  <c r="C7" i="43"/>
  <c r="G17" i="44"/>
  <c r="G27" i="44" s="1"/>
  <c r="H17" i="43"/>
  <c r="K17" i="34"/>
  <c r="AD118" i="41" l="1"/>
  <c r="AD93" i="41"/>
  <c r="G18" i="44"/>
  <c r="H27" i="43"/>
  <c r="H18" i="43"/>
  <c r="K27" i="34"/>
  <c r="K18" i="34"/>
  <c r="G22" i="44" l="1"/>
  <c r="G31" i="44"/>
  <c r="K22" i="34"/>
  <c r="K31" i="34"/>
  <c r="H22" i="43"/>
  <c r="H31" i="43"/>
  <c r="F20" i="44"/>
  <c r="F18" i="44"/>
  <c r="F1" i="44"/>
  <c r="F7" i="44" s="1"/>
  <c r="F8" i="44" s="1"/>
  <c r="D18" i="44"/>
  <c r="D16" i="44"/>
  <c r="D1" i="44"/>
  <c r="D7" i="44" s="1"/>
  <c r="D16" i="43"/>
  <c r="D5" i="43"/>
  <c r="D1" i="43"/>
  <c r="H14" i="34"/>
  <c r="H5" i="34"/>
  <c r="H1" i="34"/>
  <c r="H7" i="34" s="1"/>
  <c r="H8" i="34" s="1"/>
  <c r="G18" i="34"/>
  <c r="G1" i="34"/>
  <c r="G7" i="34" s="1"/>
  <c r="AH12" i="42" l="1"/>
  <c r="D7" i="43"/>
  <c r="D8" i="43" s="1"/>
  <c r="AC12" i="42"/>
  <c r="G8" i="34"/>
  <c r="X12" i="42"/>
  <c r="I25" i="33"/>
  <c r="R11" i="42" s="1"/>
  <c r="U11" i="42" s="1"/>
  <c r="H25" i="33"/>
  <c r="R10" i="42" s="1"/>
  <c r="U10" i="42" s="1"/>
  <c r="M28" i="45"/>
  <c r="M23" i="45"/>
  <c r="M20" i="45"/>
  <c r="L17" i="45"/>
  <c r="D17" i="45"/>
  <c r="U15" i="42" l="1"/>
  <c r="U19" i="42" s="1"/>
  <c r="M21" i="45"/>
  <c r="M22" i="45" s="1"/>
  <c r="N13" i="45"/>
  <c r="M6" i="45"/>
  <c r="M8" i="45" s="1"/>
  <c r="L4" i="45"/>
  <c r="N4" i="45" s="1"/>
  <c r="F26" i="45"/>
  <c r="E11" i="45"/>
  <c r="G7" i="45"/>
  <c r="E9" i="45"/>
  <c r="D4" i="45"/>
  <c r="E6" i="45"/>
  <c r="E8" i="45" s="1"/>
  <c r="D5" i="45"/>
  <c r="F5" i="45" s="1"/>
  <c r="E28" i="45"/>
  <c r="E20" i="45"/>
  <c r="E21" i="45" s="1"/>
  <c r="H16" i="33"/>
  <c r="N5" i="45" l="1"/>
  <c r="M9" i="45"/>
  <c r="M10" i="45" s="1"/>
  <c r="M12" i="45" s="1"/>
  <c r="M14" i="45" s="1"/>
  <c r="M24" i="45"/>
  <c r="E10" i="45"/>
  <c r="E12" i="45" s="1"/>
  <c r="E14" i="45" s="1"/>
  <c r="F4" i="45"/>
  <c r="D6" i="45"/>
  <c r="D7" i="45" s="1"/>
  <c r="F7" i="45" s="1"/>
  <c r="E22" i="45"/>
  <c r="E25" i="45" s="1"/>
  <c r="E27" i="45" s="1"/>
  <c r="E29" i="45" s="1"/>
  <c r="E23" i="45"/>
  <c r="E24" i="45"/>
  <c r="L6" i="45" l="1"/>
  <c r="M25" i="45"/>
  <c r="M27" i="45" s="1"/>
  <c r="M29" i="45" s="1"/>
  <c r="D9" i="45"/>
  <c r="F9" i="45" s="1"/>
  <c r="D8" i="45"/>
  <c r="F8" i="45" s="1"/>
  <c r="F6" i="45"/>
  <c r="L8" i="45" l="1"/>
  <c r="N8" i="45" s="1"/>
  <c r="L7" i="45"/>
  <c r="N7" i="45"/>
  <c r="L9" i="45"/>
  <c r="N9" i="45" s="1"/>
  <c r="N6" i="45"/>
  <c r="D10" i="45"/>
  <c r="F10" i="45" s="1"/>
  <c r="L10" i="45" l="1"/>
  <c r="L12" i="45" s="1"/>
  <c r="L14" i="45" s="1"/>
  <c r="D12" i="45"/>
  <c r="F13" i="45"/>
  <c r="F12" i="45"/>
  <c r="N10" i="45" l="1"/>
  <c r="N12" i="45" s="1"/>
  <c r="N14" i="45" s="1"/>
  <c r="F14" i="45"/>
  <c r="D14" i="45"/>
  <c r="B7" i="33" l="1"/>
  <c r="B8" i="33" s="1"/>
  <c r="B11" i="33"/>
  <c r="B9" i="33"/>
  <c r="N5" i="33"/>
  <c r="N15" i="33"/>
  <c r="G25" i="2"/>
  <c r="H8" i="2"/>
  <c r="H25" i="2"/>
  <c r="L11" i="2" l="1"/>
  <c r="L9" i="2"/>
  <c r="L7" i="2"/>
  <c r="F24" i="44" l="1"/>
  <c r="D24" i="44"/>
  <c r="F22" i="44"/>
  <c r="D22" i="44"/>
  <c r="H15" i="44"/>
  <c r="C15" i="44"/>
  <c r="D14" i="44"/>
  <c r="F4" i="44"/>
  <c r="D4" i="44"/>
  <c r="G24" i="43"/>
  <c r="G22" i="43"/>
  <c r="D22" i="43"/>
  <c r="C20" i="43"/>
  <c r="AD11" i="41" s="1"/>
  <c r="G14" i="43"/>
  <c r="D14" i="43"/>
  <c r="I15" i="43"/>
  <c r="C15" i="43"/>
  <c r="D4" i="43"/>
  <c r="I19" i="42"/>
  <c r="H19" i="42"/>
  <c r="D19" i="42"/>
  <c r="C19" i="42"/>
  <c r="AN18" i="42"/>
  <c r="O18" i="42"/>
  <c r="J19" i="42"/>
  <c r="AP18" i="42"/>
  <c r="AO18" i="42"/>
  <c r="Q17" i="42"/>
  <c r="N17" i="42"/>
  <c r="M17" i="42"/>
  <c r="P17" i="42" s="1"/>
  <c r="D17" i="42"/>
  <c r="AN15" i="42"/>
  <c r="AN19" i="42" s="1"/>
  <c r="O15" i="42"/>
  <c r="AP10" i="42"/>
  <c r="AM10" i="42"/>
  <c r="AL10" i="42"/>
  <c r="AO10" i="42" s="1"/>
  <c r="Q10" i="42"/>
  <c r="Q15" i="42" s="1"/>
  <c r="M10" i="42"/>
  <c r="P10" i="42" s="1"/>
  <c r="Q18" i="42" l="1"/>
  <c r="Q19" i="42" s="1"/>
  <c r="O19" i="42"/>
  <c r="P15" i="42"/>
  <c r="H25" i="44"/>
  <c r="H16" i="44"/>
  <c r="H5" i="44"/>
  <c r="C16" i="44"/>
  <c r="H20" i="44"/>
  <c r="AF11" i="41" s="1"/>
  <c r="C25" i="44"/>
  <c r="I25" i="43"/>
  <c r="I14" i="43"/>
  <c r="D24" i="43"/>
  <c r="C25" i="43"/>
  <c r="C4" i="44"/>
  <c r="D8" i="44"/>
  <c r="D6" i="44" s="1"/>
  <c r="F14" i="44"/>
  <c r="H14" i="44" s="1"/>
  <c r="C20" i="44"/>
  <c r="AH11" i="41" s="1"/>
  <c r="C5" i="44"/>
  <c r="D6" i="43"/>
  <c r="I16" i="43"/>
  <c r="I5" i="43"/>
  <c r="C5" i="43"/>
  <c r="G6" i="43"/>
  <c r="I7" i="43"/>
  <c r="C16" i="43"/>
  <c r="G4" i="43"/>
  <c r="I4" i="43" s="1"/>
  <c r="I20" i="43"/>
  <c r="AB11" i="41" s="1"/>
  <c r="C14" i="43"/>
  <c r="L19" i="42"/>
  <c r="AP15" i="42"/>
  <c r="AP19" i="42" s="1"/>
  <c r="AO15" i="42"/>
  <c r="AO19" i="42" s="1"/>
  <c r="P18" i="42"/>
  <c r="H24" i="44" l="1"/>
  <c r="AF137" i="41"/>
  <c r="AF133" i="41" s="1"/>
  <c r="AH110" i="41"/>
  <c r="AH137" i="41"/>
  <c r="AB110" i="41"/>
  <c r="AB93" i="41"/>
  <c r="I24" i="43"/>
  <c r="AB137" i="41"/>
  <c r="AB133" i="41" s="1"/>
  <c r="AD110" i="41"/>
  <c r="AD137" i="41"/>
  <c r="AD133" i="41" s="1"/>
  <c r="C24" i="44"/>
  <c r="D13" i="49"/>
  <c r="D14" i="49" s="1"/>
  <c r="D16" i="49"/>
  <c r="D20" i="49" s="1"/>
  <c r="F9" i="47"/>
  <c r="D11" i="43"/>
  <c r="AF12" i="42"/>
  <c r="D16" i="48"/>
  <c r="D20" i="48" s="1"/>
  <c r="D9" i="47"/>
  <c r="F9" i="46"/>
  <c r="C24" i="43"/>
  <c r="D13" i="48"/>
  <c r="D14" i="48" s="1"/>
  <c r="P19" i="42"/>
  <c r="G11" i="43"/>
  <c r="F6" i="44"/>
  <c r="AK12" i="42" s="1"/>
  <c r="D11" i="44"/>
  <c r="D9" i="44"/>
  <c r="H7" i="44"/>
  <c r="C14" i="44"/>
  <c r="D12" i="44"/>
  <c r="H4" i="44"/>
  <c r="I8" i="43"/>
  <c r="AB118" i="41" s="1"/>
  <c r="D12" i="43"/>
  <c r="D9" i="43"/>
  <c r="C4" i="43"/>
  <c r="AL143" i="41"/>
  <c r="AJ143" i="41"/>
  <c r="N143" i="41"/>
  <c r="L143" i="41"/>
  <c r="F143" i="41"/>
  <c r="D143" i="41"/>
  <c r="AL139" i="41"/>
  <c r="AJ139" i="41"/>
  <c r="N139" i="41"/>
  <c r="L139" i="41"/>
  <c r="F139" i="41"/>
  <c r="D139" i="41"/>
  <c r="AL137" i="41"/>
  <c r="AL133" i="41" s="1"/>
  <c r="AJ137" i="41"/>
  <c r="AJ133" i="41" s="1"/>
  <c r="AH133" i="41"/>
  <c r="N137" i="41"/>
  <c r="N133" i="41" s="1"/>
  <c r="L137" i="41"/>
  <c r="L133" i="41" s="1"/>
  <c r="F137" i="41"/>
  <c r="D137" i="41"/>
  <c r="D133" i="41" s="1"/>
  <c r="F133" i="41"/>
  <c r="N129" i="41"/>
  <c r="F129" i="41"/>
  <c r="D129" i="41"/>
  <c r="AL118" i="41"/>
  <c r="AJ118" i="41"/>
  <c r="N118" i="41"/>
  <c r="L118" i="41"/>
  <c r="F118" i="41"/>
  <c r="D118" i="41" s="1"/>
  <c r="AL110" i="41"/>
  <c r="AJ110" i="41"/>
  <c r="N110" i="41"/>
  <c r="L110" i="41"/>
  <c r="F110" i="41"/>
  <c r="D110" i="41" s="1"/>
  <c r="F104" i="41"/>
  <c r="L104" i="41" s="1"/>
  <c r="D104" i="41"/>
  <c r="L102" i="41"/>
  <c r="AL93" i="41"/>
  <c r="AJ93" i="41"/>
  <c r="N93" i="41"/>
  <c r="L93" i="41"/>
  <c r="F93" i="41"/>
  <c r="L86" i="41"/>
  <c r="F84" i="41"/>
  <c r="D84" i="41"/>
  <c r="AL24" i="41"/>
  <c r="AJ24" i="41"/>
  <c r="N24" i="41"/>
  <c r="L24" i="41"/>
  <c r="F24" i="41"/>
  <c r="D24" i="41"/>
  <c r="F21" i="41"/>
  <c r="N18" i="41"/>
  <c r="N13" i="41" s="1"/>
  <c r="F18" i="41"/>
  <c r="F23" i="41" s="1"/>
  <c r="D18" i="41"/>
  <c r="D23" i="41" s="1"/>
  <c r="F17" i="41"/>
  <c r="F22" i="41" s="1"/>
  <c r="D17" i="41"/>
  <c r="D22" i="41" s="1"/>
  <c r="F16" i="41"/>
  <c r="D16" i="41"/>
  <c r="D21" i="41" s="1"/>
  <c r="F13" i="41"/>
  <c r="D13" i="41"/>
  <c r="AL11" i="41"/>
  <c r="AL15" i="41" s="1"/>
  <c r="AL16" i="41" s="1"/>
  <c r="AJ11" i="41"/>
  <c r="N11" i="41"/>
  <c r="L11" i="41"/>
  <c r="L15" i="41" s="1"/>
  <c r="F11" i="41"/>
  <c r="F15" i="41" s="1"/>
  <c r="F20" i="41" s="1"/>
  <c r="D11" i="41"/>
  <c r="D15" i="41" s="1"/>
  <c r="D20" i="41" s="1"/>
  <c r="H15" i="40"/>
  <c r="W15" i="40" s="1"/>
  <c r="G15" i="40"/>
  <c r="G14" i="40"/>
  <c r="G12" i="40"/>
  <c r="H11" i="39"/>
  <c r="H12" i="39"/>
  <c r="W12" i="39"/>
  <c r="H13" i="39"/>
  <c r="W13" i="39"/>
  <c r="H14" i="39"/>
  <c r="W14" i="39" s="1"/>
  <c r="D15" i="39"/>
  <c r="K15" i="39"/>
  <c r="H16" i="39"/>
  <c r="I16" i="39"/>
  <c r="W16" i="39"/>
  <c r="X16" i="39"/>
  <c r="C9" i="43" l="1"/>
  <c r="C11" i="43"/>
  <c r="C12" i="43"/>
  <c r="R18" i="39" s="1"/>
  <c r="AB140" i="41"/>
  <c r="AB144" i="41" s="1"/>
  <c r="AF110" i="41"/>
  <c r="AF93" i="41"/>
  <c r="T139" i="41"/>
  <c r="D17" i="39"/>
  <c r="R139" i="41"/>
  <c r="R141" i="41" s="1"/>
  <c r="D10" i="47"/>
  <c r="F10" i="46"/>
  <c r="X13" i="39"/>
  <c r="AJ15" i="41"/>
  <c r="AJ20" i="41" s="1"/>
  <c r="G10" i="43"/>
  <c r="G13" i="43" s="1"/>
  <c r="G17" i="43" s="1"/>
  <c r="G29" i="44"/>
  <c r="F9" i="44"/>
  <c r="F12" i="44"/>
  <c r="F10" i="47"/>
  <c r="C6" i="44"/>
  <c r="C13" i="44" s="1"/>
  <c r="C17" i="44" s="1"/>
  <c r="H6" i="44"/>
  <c r="H8" i="44"/>
  <c r="AF118" i="41" s="1"/>
  <c r="H9" i="44"/>
  <c r="F11" i="44"/>
  <c r="D10" i="44"/>
  <c r="D13" i="44" s="1"/>
  <c r="D17" i="44" s="1"/>
  <c r="C6" i="43"/>
  <c r="I6" i="43"/>
  <c r="H29" i="43"/>
  <c r="D10" i="43"/>
  <c r="D13" i="43" s="1"/>
  <c r="D17" i="43" s="1"/>
  <c r="H12" i="40"/>
  <c r="W12" i="40" s="1"/>
  <c r="X12" i="40" s="1"/>
  <c r="H13" i="40"/>
  <c r="W13" i="40" s="1"/>
  <c r="X13" i="40" s="1"/>
  <c r="F140" i="41"/>
  <c r="F144" i="41" s="1"/>
  <c r="AD140" i="41"/>
  <c r="AD144" i="41" s="1"/>
  <c r="AL140" i="41"/>
  <c r="AL144" i="41" s="1"/>
  <c r="AL145" i="41" s="1"/>
  <c r="AB130" i="41"/>
  <c r="AJ130" i="41"/>
  <c r="H11" i="40"/>
  <c r="I11" i="40" s="1"/>
  <c r="L130" i="41"/>
  <c r="AF130" i="41"/>
  <c r="I13" i="39"/>
  <c r="X12" i="39"/>
  <c r="X14" i="39"/>
  <c r="N15" i="41"/>
  <c r="N20" i="41" s="1"/>
  <c r="AJ140" i="41"/>
  <c r="AJ144" i="41" s="1"/>
  <c r="AJ145" i="41" s="1"/>
  <c r="I12" i="39"/>
  <c r="I14" i="39"/>
  <c r="X15" i="40"/>
  <c r="L140" i="41"/>
  <c r="L144" i="41" s="1"/>
  <c r="L145" i="41" s="1"/>
  <c r="L20" i="41"/>
  <c r="L16" i="41"/>
  <c r="AB129" i="41"/>
  <c r="L129" i="41"/>
  <c r="AF129" i="41"/>
  <c r="AJ104" i="41"/>
  <c r="AJ129" i="41" s="1"/>
  <c r="F145" i="41"/>
  <c r="F141" i="41"/>
  <c r="AL20" i="41"/>
  <c r="L87" i="41"/>
  <c r="D93" i="41"/>
  <c r="D140" i="41" s="1"/>
  <c r="D144" i="41" s="1"/>
  <c r="D145" i="41" s="1"/>
  <c r="AJ102" i="41"/>
  <c r="L127" i="41"/>
  <c r="L112" i="41" s="1"/>
  <c r="F130" i="41"/>
  <c r="AD130" i="41"/>
  <c r="AL130" i="41"/>
  <c r="N102" i="41"/>
  <c r="N127" i="41" s="1"/>
  <c r="N112" i="41" s="1"/>
  <c r="N130" i="41"/>
  <c r="AH130" i="41"/>
  <c r="N140" i="41"/>
  <c r="N144" i="41" s="1"/>
  <c r="N145" i="41" s="1"/>
  <c r="AH144" i="41"/>
  <c r="H14" i="40"/>
  <c r="W14" i="40" s="1"/>
  <c r="I15" i="40"/>
  <c r="I11" i="39"/>
  <c r="W11" i="39"/>
  <c r="H15" i="39"/>
  <c r="H17" i="39" s="1"/>
  <c r="C15" i="39"/>
  <c r="R19" i="40" l="1"/>
  <c r="C10" i="43"/>
  <c r="C13" i="43" s="1"/>
  <c r="C17" i="43" s="1"/>
  <c r="AF140" i="41"/>
  <c r="AF144" i="41" s="1"/>
  <c r="C17" i="39"/>
  <c r="P139" i="41"/>
  <c r="P141" i="41" s="1"/>
  <c r="AJ16" i="41"/>
  <c r="AJ21" i="41" s="1"/>
  <c r="AJ141" i="41"/>
  <c r="D15" i="49"/>
  <c r="U17" i="40"/>
  <c r="U16" i="39"/>
  <c r="F11" i="47"/>
  <c r="F18" i="47"/>
  <c r="F32" i="47" s="1"/>
  <c r="T16" i="39"/>
  <c r="T17" i="40"/>
  <c r="Q17" i="40"/>
  <c r="Q16" i="39"/>
  <c r="F18" i="46"/>
  <c r="F32" i="46" s="1"/>
  <c r="F11" i="46"/>
  <c r="D15" i="48"/>
  <c r="R17" i="40"/>
  <c r="R16" i="39"/>
  <c r="D11" i="47"/>
  <c r="D18" i="47"/>
  <c r="D32" i="47" s="1"/>
  <c r="L141" i="41"/>
  <c r="AL141" i="41"/>
  <c r="I12" i="40"/>
  <c r="N16" i="41"/>
  <c r="H12" i="44"/>
  <c r="T18" i="39" s="1"/>
  <c r="F10" i="44"/>
  <c r="F13" i="44" s="1"/>
  <c r="F17" i="44" s="1"/>
  <c r="F27" i="44" s="1"/>
  <c r="F29" i="44" s="1"/>
  <c r="H11" i="44"/>
  <c r="T19" i="40" s="1"/>
  <c r="I12" i="43"/>
  <c r="Q18" i="39" s="1"/>
  <c r="I11" i="43"/>
  <c r="Q19" i="40" s="1"/>
  <c r="I9" i="43"/>
  <c r="W11" i="40"/>
  <c r="X11" i="40" s="1"/>
  <c r="X16" i="40" s="1"/>
  <c r="X18" i="40" s="1"/>
  <c r="I13" i="40"/>
  <c r="I16" i="40" s="1"/>
  <c r="I18" i="40" s="1"/>
  <c r="I15" i="39"/>
  <c r="I17" i="39" s="1"/>
  <c r="L21" i="41"/>
  <c r="L17" i="41"/>
  <c r="N87" i="41"/>
  <c r="D130" i="41"/>
  <c r="N141" i="41"/>
  <c r="AL102" i="41"/>
  <c r="AJ127" i="41"/>
  <c r="AJ112" i="41" s="1"/>
  <c r="AJ87" i="41"/>
  <c r="D141" i="41"/>
  <c r="H16" i="40"/>
  <c r="C16" i="40"/>
  <c r="W15" i="39"/>
  <c r="W17" i="39" s="1"/>
  <c r="X11" i="39"/>
  <c r="X15" i="39" s="1"/>
  <c r="X17" i="39" s="1"/>
  <c r="D15" i="40" l="1"/>
  <c r="D13" i="40"/>
  <c r="R102" i="41" s="1"/>
  <c r="D12" i="40"/>
  <c r="D11" i="40"/>
  <c r="P143" i="41"/>
  <c r="P145" i="41" s="1"/>
  <c r="C18" i="40"/>
  <c r="H10" i="44"/>
  <c r="H13" i="44"/>
  <c r="I10" i="43"/>
  <c r="W16" i="40"/>
  <c r="AL127" i="41"/>
  <c r="AL112" i="41" s="1"/>
  <c r="AL87" i="41"/>
  <c r="L22" i="41"/>
  <c r="L18" i="41"/>
  <c r="AJ17" i="41"/>
  <c r="R127" i="41" l="1"/>
  <c r="R112" i="41" s="1"/>
  <c r="R87" i="41"/>
  <c r="D16" i="40"/>
  <c r="H17" i="44"/>
  <c r="I13" i="43"/>
  <c r="L13" i="41"/>
  <c r="L23" i="41"/>
  <c r="AJ22" i="41"/>
  <c r="AJ18" i="41"/>
  <c r="D18" i="40" l="1"/>
  <c r="R143" i="41"/>
  <c r="R145" i="41" s="1"/>
  <c r="I17" i="43"/>
  <c r="AJ13" i="41"/>
  <c r="AJ23" i="41"/>
  <c r="D18" i="36" l="1"/>
  <c r="J1" i="34"/>
  <c r="X14" i="42" s="1"/>
  <c r="G22" i="34" l="1"/>
  <c r="C25" i="34"/>
  <c r="Z137" i="41" s="1"/>
  <c r="Z133" i="41" s="1"/>
  <c r="G24" i="34"/>
  <c r="G14" i="34"/>
  <c r="G4" i="34"/>
  <c r="D13" i="36" l="1"/>
  <c r="D14" i="36" s="1"/>
  <c r="G6" i="34"/>
  <c r="G12" i="34" l="1"/>
  <c r="G9" i="34"/>
  <c r="G11" i="34"/>
  <c r="G10" i="34" l="1"/>
  <c r="G13" i="34" s="1"/>
  <c r="G17" i="34" s="1"/>
  <c r="E20" i="33" l="1"/>
  <c r="E1" i="34"/>
  <c r="D8" i="34"/>
  <c r="E7" i="34" l="1"/>
  <c r="X9" i="42"/>
  <c r="J16" i="34"/>
  <c r="J5" i="34"/>
  <c r="J7" i="34"/>
  <c r="E8" i="34" l="1"/>
  <c r="C7" i="34"/>
  <c r="H1" i="33"/>
  <c r="S10" i="42" s="1"/>
  <c r="D19" i="45" l="1"/>
  <c r="H7" i="33"/>
  <c r="H8" i="33" s="1"/>
  <c r="I1" i="33"/>
  <c r="L19" i="45" l="1"/>
  <c r="L20" i="45" s="1"/>
  <c r="N20" i="45" s="1"/>
  <c r="S11" i="42"/>
  <c r="N19" i="45"/>
  <c r="D20" i="45"/>
  <c r="F20" i="45" s="1"/>
  <c r="F19" i="45"/>
  <c r="I24" i="34"/>
  <c r="J24" i="34"/>
  <c r="H24" i="34"/>
  <c r="E24" i="34"/>
  <c r="D24" i="34"/>
  <c r="I22" i="34"/>
  <c r="H22" i="34"/>
  <c r="C16" i="34"/>
  <c r="L15" i="34"/>
  <c r="C15" i="34"/>
  <c r="J14" i="34"/>
  <c r="I14" i="34"/>
  <c r="E14" i="34"/>
  <c r="D14" i="34"/>
  <c r="D6" i="34"/>
  <c r="L5" i="34"/>
  <c r="C5" i="34"/>
  <c r="J4" i="34"/>
  <c r="I4" i="34"/>
  <c r="H4" i="34"/>
  <c r="E4" i="34"/>
  <c r="D4" i="34"/>
  <c r="I6" i="34"/>
  <c r="H6" i="34"/>
  <c r="AA12" i="42" s="1"/>
  <c r="J7" i="33"/>
  <c r="J8" i="33" s="1"/>
  <c r="I7" i="33"/>
  <c r="L24" i="33"/>
  <c r="K24" i="33"/>
  <c r="J24" i="33"/>
  <c r="H24" i="33"/>
  <c r="F24" i="33"/>
  <c r="E24" i="33"/>
  <c r="K22" i="33"/>
  <c r="J22" i="33"/>
  <c r="F22" i="33"/>
  <c r="I14" i="33"/>
  <c r="D15" i="33"/>
  <c r="L14" i="33"/>
  <c r="K14" i="33"/>
  <c r="J14" i="33"/>
  <c r="H14" i="33"/>
  <c r="F14" i="33"/>
  <c r="E14" i="33"/>
  <c r="D5" i="33"/>
  <c r="M4" i="33"/>
  <c r="L4" i="33"/>
  <c r="K4" i="33"/>
  <c r="J4" i="33"/>
  <c r="I4" i="33"/>
  <c r="H4" i="33"/>
  <c r="F4" i="33"/>
  <c r="E4" i="33"/>
  <c r="L7" i="33"/>
  <c r="K7" i="33"/>
  <c r="F1" i="33"/>
  <c r="E1" i="33"/>
  <c r="C31" i="44" l="1"/>
  <c r="E7" i="33"/>
  <c r="S9" i="42"/>
  <c r="D7" i="33"/>
  <c r="V93" i="41" s="1"/>
  <c r="I9" i="34"/>
  <c r="I11" i="34"/>
  <c r="L21" i="45"/>
  <c r="I8" i="33"/>
  <c r="I6" i="33" s="1"/>
  <c r="D11" i="34"/>
  <c r="D9" i="34"/>
  <c r="H9" i="34"/>
  <c r="H12" i="34"/>
  <c r="D21" i="45"/>
  <c r="I24" i="33"/>
  <c r="E8" i="33"/>
  <c r="E6" i="33" s="1"/>
  <c r="N4" i="33"/>
  <c r="N25" i="33"/>
  <c r="T137" i="41" s="1"/>
  <c r="T133" i="41" s="1"/>
  <c r="D4" i="33"/>
  <c r="D16" i="33"/>
  <c r="F7" i="33"/>
  <c r="F8" i="33" s="1"/>
  <c r="D12" i="34"/>
  <c r="C4" i="34"/>
  <c r="I12" i="34"/>
  <c r="H11" i="34"/>
  <c r="L16" i="34"/>
  <c r="X31" i="41" s="1"/>
  <c r="X26" i="41" s="1"/>
  <c r="L14" i="34"/>
  <c r="C14" i="34"/>
  <c r="C24" i="34"/>
  <c r="L4" i="34"/>
  <c r="L25" i="34"/>
  <c r="L7" i="34"/>
  <c r="J8" i="34"/>
  <c r="C8" i="34" s="1"/>
  <c r="K8" i="33"/>
  <c r="J6" i="33"/>
  <c r="V12" i="42" s="1"/>
  <c r="L8" i="33"/>
  <c r="L6" i="33" s="1"/>
  <c r="V14" i="42" s="1"/>
  <c r="D14" i="33"/>
  <c r="D25" i="33"/>
  <c r="C32" i="44" l="1"/>
  <c r="E32" i="44" s="1"/>
  <c r="V31" i="41"/>
  <c r="V26" i="41" s="1"/>
  <c r="I9" i="33"/>
  <c r="V11" i="42"/>
  <c r="K6" i="33"/>
  <c r="K12" i="33" s="1"/>
  <c r="D8" i="33"/>
  <c r="V118" i="41" s="1"/>
  <c r="L24" i="34"/>
  <c r="X137" i="41"/>
  <c r="X133" i="41" s="1"/>
  <c r="V110" i="41"/>
  <c r="V137" i="41"/>
  <c r="V133" i="41" s="1"/>
  <c r="Z110" i="41"/>
  <c r="Z93" i="41"/>
  <c r="X110" i="41"/>
  <c r="X93" i="41"/>
  <c r="D16" i="36"/>
  <c r="D20" i="36" s="1"/>
  <c r="F9" i="38"/>
  <c r="D9" i="46"/>
  <c r="F9" i="11"/>
  <c r="N24" i="33"/>
  <c r="M6" i="33"/>
  <c r="E9" i="33"/>
  <c r="E12" i="33"/>
  <c r="D24" i="45"/>
  <c r="F24" i="45" s="1"/>
  <c r="D23" i="45"/>
  <c r="J12" i="33"/>
  <c r="J9" i="33"/>
  <c r="J11" i="33"/>
  <c r="L23" i="45"/>
  <c r="N23" i="45" s="1"/>
  <c r="L24" i="45"/>
  <c r="N24" i="45" s="1"/>
  <c r="L22" i="45"/>
  <c r="N22" i="45" s="1"/>
  <c r="N21" i="45"/>
  <c r="F6" i="33"/>
  <c r="F11" i="33" s="1"/>
  <c r="N7" i="33"/>
  <c r="F21" i="45"/>
  <c r="F23" i="45"/>
  <c r="D22" i="45"/>
  <c r="F22" i="45" s="1"/>
  <c r="M14" i="33"/>
  <c r="N16" i="33"/>
  <c r="T31" i="41" s="1"/>
  <c r="T26" i="41" s="1"/>
  <c r="H6" i="33"/>
  <c r="V10" i="42" s="1"/>
  <c r="N8" i="33"/>
  <c r="I12" i="33"/>
  <c r="D9" i="38"/>
  <c r="L11" i="33"/>
  <c r="L12" i="33"/>
  <c r="L9" i="33"/>
  <c r="D24" i="33"/>
  <c r="J6" i="34"/>
  <c r="AA14" i="42" s="1"/>
  <c r="E11" i="33"/>
  <c r="D10" i="34"/>
  <c r="D13" i="34" s="1"/>
  <c r="D17" i="34" s="1"/>
  <c r="Z118" i="41"/>
  <c r="H10" i="34"/>
  <c r="H13" i="34" s="1"/>
  <c r="H17" i="34" s="1"/>
  <c r="D27" i="44" s="1"/>
  <c r="D29" i="44" s="1"/>
  <c r="I10" i="34"/>
  <c r="I13" i="34" s="1"/>
  <c r="I17" i="34" s="1"/>
  <c r="E6" i="34"/>
  <c r="L8" i="34"/>
  <c r="I11" i="33"/>
  <c r="D5" i="14"/>
  <c r="E5" i="14"/>
  <c r="C5" i="14"/>
  <c r="B5" i="14"/>
  <c r="D11" i="33" l="1"/>
  <c r="L19" i="40" s="1"/>
  <c r="V13" i="42"/>
  <c r="K9" i="33"/>
  <c r="F9" i="33"/>
  <c r="D9" i="33" s="1"/>
  <c r="V9" i="42"/>
  <c r="Z130" i="41"/>
  <c r="V130" i="41"/>
  <c r="V140" i="41"/>
  <c r="V144" i="41" s="1"/>
  <c r="T110" i="41"/>
  <c r="T93" i="41"/>
  <c r="T118" i="41"/>
  <c r="X87" i="41"/>
  <c r="Z140" i="41"/>
  <c r="Z144" i="41" s="1"/>
  <c r="X118" i="41"/>
  <c r="E12" i="34"/>
  <c r="AA9" i="42"/>
  <c r="D10" i="46"/>
  <c r="F10" i="38"/>
  <c r="F11" i="38" s="1"/>
  <c r="M11" i="33"/>
  <c r="M9" i="33"/>
  <c r="M12" i="33"/>
  <c r="N14" i="33"/>
  <c r="V17" i="42"/>
  <c r="V18" i="42" s="1"/>
  <c r="L10" i="33"/>
  <c r="L13" i="33" s="1"/>
  <c r="L17" i="33" s="1"/>
  <c r="H11" i="33"/>
  <c r="H12" i="33"/>
  <c r="L25" i="45"/>
  <c r="D10" i="38"/>
  <c r="D18" i="38" s="1"/>
  <c r="D32" i="38" s="1"/>
  <c r="F10" i="11"/>
  <c r="F12" i="33"/>
  <c r="D12" i="33" s="1"/>
  <c r="L18" i="39" s="1"/>
  <c r="J9" i="34"/>
  <c r="C9" i="34" s="1"/>
  <c r="J11" i="34"/>
  <c r="J12" i="34"/>
  <c r="D25" i="45"/>
  <c r="H9" i="33"/>
  <c r="N6" i="33"/>
  <c r="D6" i="33"/>
  <c r="K10" i="33"/>
  <c r="G5" i="14"/>
  <c r="I5" i="14" s="1"/>
  <c r="C6" i="34"/>
  <c r="E11" i="34"/>
  <c r="E10" i="33"/>
  <c r="E13" i="33" s="1"/>
  <c r="E17" i="33" s="1"/>
  <c r="I10" i="33"/>
  <c r="I13" i="33" s="1"/>
  <c r="I17" i="33" s="1"/>
  <c r="L6" i="34"/>
  <c r="J10" i="33"/>
  <c r="J13" i="33" s="1"/>
  <c r="J17" i="33" s="1"/>
  <c r="G27" i="34" s="1"/>
  <c r="G13" i="14"/>
  <c r="G11" i="14"/>
  <c r="G9" i="14"/>
  <c r="B9" i="14" s="1"/>
  <c r="G7" i="14"/>
  <c r="D10" i="33" l="1"/>
  <c r="N11" i="33"/>
  <c r="K19" i="40" s="1"/>
  <c r="K20" i="40" s="1"/>
  <c r="M10" i="33"/>
  <c r="M13" i="33" s="1"/>
  <c r="C12" i="34"/>
  <c r="O18" i="39" s="1"/>
  <c r="C11" i="34"/>
  <c r="K13" i="33"/>
  <c r="K17" i="33" s="1"/>
  <c r="F27" i="43" s="1"/>
  <c r="F29" i="43" s="1"/>
  <c r="O17" i="40"/>
  <c r="T130" i="41"/>
  <c r="T112" i="41"/>
  <c r="T140" i="41"/>
  <c r="T87" i="41"/>
  <c r="L16" i="39"/>
  <c r="D13" i="33"/>
  <c r="D17" i="33" s="1"/>
  <c r="L17" i="40"/>
  <c r="X112" i="41"/>
  <c r="X130" i="41"/>
  <c r="X140" i="41"/>
  <c r="X144" i="41" s="1"/>
  <c r="D11" i="38"/>
  <c r="N16" i="39"/>
  <c r="N17" i="40"/>
  <c r="N12" i="33"/>
  <c r="V19" i="42"/>
  <c r="K17" i="40"/>
  <c r="F10" i="33"/>
  <c r="F13" i="33" s="1"/>
  <c r="F17" i="33" s="1"/>
  <c r="D27" i="34" s="1"/>
  <c r="D29" i="34" s="1"/>
  <c r="F18" i="38"/>
  <c r="F32" i="38" s="1"/>
  <c r="K16" i="39"/>
  <c r="D15" i="36"/>
  <c r="O16" i="39"/>
  <c r="D28" i="45"/>
  <c r="F28" i="45" s="1"/>
  <c r="N25" i="45"/>
  <c r="N27" i="45" s="1"/>
  <c r="L27" i="45"/>
  <c r="L28" i="45"/>
  <c r="N28" i="45" s="1"/>
  <c r="D18" i="46"/>
  <c r="D32" i="46" s="1"/>
  <c r="D11" i="46"/>
  <c r="L11" i="34"/>
  <c r="N19" i="40" s="1"/>
  <c r="J10" i="34"/>
  <c r="J13" i="34" s="1"/>
  <c r="J17" i="34" s="1"/>
  <c r="L12" i="34"/>
  <c r="D27" i="45"/>
  <c r="F25" i="45"/>
  <c r="F27" i="45" s="1"/>
  <c r="N9" i="33"/>
  <c r="A9" i="33"/>
  <c r="H10" i="33"/>
  <c r="G29" i="34"/>
  <c r="E10" i="34"/>
  <c r="L10" i="34" s="1"/>
  <c r="D22" i="34"/>
  <c r="L9" i="34"/>
  <c r="I7" i="14"/>
  <c r="G1" i="14"/>
  <c r="I9" i="14"/>
  <c r="B11" i="14"/>
  <c r="B13" i="14" s="1"/>
  <c r="I13" i="14" s="1"/>
  <c r="I11" i="14"/>
  <c r="B7" i="14"/>
  <c r="B1" i="14" s="1"/>
  <c r="N10" i="33" l="1"/>
  <c r="U13" i="40"/>
  <c r="N18" i="39"/>
  <c r="O19" i="40"/>
  <c r="C10" i="34"/>
  <c r="C13" i="34" s="1"/>
  <c r="C17" i="34" s="1"/>
  <c r="K18" i="39"/>
  <c r="K19" i="39" s="1"/>
  <c r="T144" i="41"/>
  <c r="T145" i="41" s="1"/>
  <c r="T141" i="41"/>
  <c r="L15" i="40"/>
  <c r="AB102" i="41"/>
  <c r="M17" i="33"/>
  <c r="M18" i="33" s="1"/>
  <c r="D33" i="44" s="1"/>
  <c r="D22" i="36"/>
  <c r="A9" i="34"/>
  <c r="K17" i="39"/>
  <c r="L11" i="39"/>
  <c r="L14" i="39"/>
  <c r="L12" i="39"/>
  <c r="L13" i="39"/>
  <c r="K18" i="40"/>
  <c r="L11" i="40"/>
  <c r="L13" i="40"/>
  <c r="V102" i="41" s="1"/>
  <c r="L29" i="45"/>
  <c r="L30" i="45" s="1"/>
  <c r="N29" i="45" s="1"/>
  <c r="N31" i="45" s="1"/>
  <c r="J27" i="34"/>
  <c r="J29" i="34" s="1"/>
  <c r="L18" i="33"/>
  <c r="D29" i="45"/>
  <c r="D30" i="45" s="1"/>
  <c r="F29" i="45" s="1"/>
  <c r="F31" i="45" s="1"/>
  <c r="H13" i="33"/>
  <c r="C27" i="44"/>
  <c r="AH24" i="41" s="1"/>
  <c r="AH15" i="41" s="1"/>
  <c r="H27" i="44"/>
  <c r="AF24" i="41" s="1"/>
  <c r="AF15" i="41" s="1"/>
  <c r="H18" i="44"/>
  <c r="H22" i="44" s="1"/>
  <c r="C18" i="44"/>
  <c r="I18" i="43"/>
  <c r="I22" i="43" s="1"/>
  <c r="C18" i="43"/>
  <c r="C33" i="44" s="1"/>
  <c r="I27" i="43"/>
  <c r="AB24" i="41" s="1"/>
  <c r="AB15" i="41" s="1"/>
  <c r="C27" i="43"/>
  <c r="AD24" i="41" s="1"/>
  <c r="AD15" i="41" s="1"/>
  <c r="E22" i="33"/>
  <c r="E13" i="34"/>
  <c r="D7" i="14"/>
  <c r="C7" i="14"/>
  <c r="E7" i="14"/>
  <c r="E33" i="44" l="1"/>
  <c r="AH20" i="41"/>
  <c r="AH16" i="41"/>
  <c r="AF16" i="41"/>
  <c r="AF20" i="41"/>
  <c r="V87" i="41"/>
  <c r="V127" i="41"/>
  <c r="V112" i="41" s="1"/>
  <c r="AD16" i="41"/>
  <c r="AD20" i="41"/>
  <c r="AB127" i="41"/>
  <c r="AB112" i="41" s="1"/>
  <c r="AB87" i="41"/>
  <c r="AB20" i="41"/>
  <c r="AB16" i="41"/>
  <c r="M22" i="33"/>
  <c r="M29" i="33"/>
  <c r="M27" i="33"/>
  <c r="L16" i="40"/>
  <c r="L20" i="40" s="1"/>
  <c r="R13" i="39"/>
  <c r="U13" i="39" s="1"/>
  <c r="Q13" i="39"/>
  <c r="T13" i="39" s="1"/>
  <c r="O11" i="39"/>
  <c r="Q11" i="39"/>
  <c r="N15" i="39"/>
  <c r="N19" i="39" s="1"/>
  <c r="Q15" i="40"/>
  <c r="O12" i="39"/>
  <c r="R12" i="39" s="1"/>
  <c r="U12" i="39" s="1"/>
  <c r="Q12" i="39"/>
  <c r="T12" i="39" s="1"/>
  <c r="Q12" i="40"/>
  <c r="R12" i="40" s="1"/>
  <c r="L15" i="39"/>
  <c r="L19" i="39" s="1"/>
  <c r="O13" i="40"/>
  <c r="Z102" i="41" s="1"/>
  <c r="Q11" i="40"/>
  <c r="O11" i="40"/>
  <c r="N16" i="40"/>
  <c r="N20" i="40" s="1"/>
  <c r="L20" i="33"/>
  <c r="L22" i="33" s="1"/>
  <c r="J18" i="34"/>
  <c r="N13" i="33"/>
  <c r="H17" i="33"/>
  <c r="L13" i="34"/>
  <c r="E17" i="34"/>
  <c r="E27" i="34" s="1"/>
  <c r="E29" i="34" s="1"/>
  <c r="E9" i="14"/>
  <c r="E1" i="14" s="1"/>
  <c r="E11" i="14"/>
  <c r="C11" i="14"/>
  <c r="C9" i="14"/>
  <c r="C1" i="14" s="1"/>
  <c r="D11" i="14"/>
  <c r="D9" i="14"/>
  <c r="D1" i="14" s="1"/>
  <c r="AF21" i="41" l="1"/>
  <c r="AF17" i="41"/>
  <c r="Z127" i="41"/>
  <c r="Z112" i="41" s="1"/>
  <c r="Z87" i="41"/>
  <c r="X143" i="41"/>
  <c r="X145" i="41" s="1"/>
  <c r="L18" i="40"/>
  <c r="V143" i="41"/>
  <c r="V145" i="41" s="1"/>
  <c r="N17" i="39"/>
  <c r="X139" i="41"/>
  <c r="X141" i="41" s="1"/>
  <c r="L17" i="39"/>
  <c r="V139" i="41"/>
  <c r="V141" i="41" s="1"/>
  <c r="AB17" i="41"/>
  <c r="AB21" i="41"/>
  <c r="N18" i="40"/>
  <c r="R11" i="40"/>
  <c r="T11" i="40"/>
  <c r="Q16" i="40"/>
  <c r="Q20" i="40" s="1"/>
  <c r="AD102" i="41"/>
  <c r="T12" i="40"/>
  <c r="U12" i="40" s="1"/>
  <c r="T11" i="39"/>
  <c r="Q15" i="39"/>
  <c r="Q19" i="39" s="1"/>
  <c r="O16" i="40"/>
  <c r="O20" i="40" s="1"/>
  <c r="T15" i="40"/>
  <c r="O15" i="39"/>
  <c r="O19" i="39" s="1"/>
  <c r="R11" i="39"/>
  <c r="R15" i="39" s="1"/>
  <c r="R19" i="39" s="1"/>
  <c r="J20" i="34"/>
  <c r="J22" i="34" s="1"/>
  <c r="H27" i="33"/>
  <c r="N17" i="33"/>
  <c r="C27" i="34"/>
  <c r="Z24" i="41" s="1"/>
  <c r="L17" i="34"/>
  <c r="D13" i="14"/>
  <c r="E13" i="14"/>
  <c r="C13" i="14"/>
  <c r="E24" i="2"/>
  <c r="AF18" i="41" l="1"/>
  <c r="AF22" i="41"/>
  <c r="AF102" i="41"/>
  <c r="AD127" i="41"/>
  <c r="AD112" i="41" s="1"/>
  <c r="AD87" i="41"/>
  <c r="R17" i="39"/>
  <c r="AD139" i="41"/>
  <c r="AD141" i="41" s="1"/>
  <c r="O17" i="39"/>
  <c r="Z139" i="41"/>
  <c r="Z141" i="41" s="1"/>
  <c r="Q17" i="39"/>
  <c r="AB139" i="41"/>
  <c r="AB141" i="41" s="1"/>
  <c r="Q18" i="40"/>
  <c r="AB143" i="41"/>
  <c r="AB145" i="41" s="1"/>
  <c r="O18" i="40"/>
  <c r="Z143" i="41"/>
  <c r="Z145" i="41" s="1"/>
  <c r="AB22" i="41"/>
  <c r="AB18" i="41"/>
  <c r="U11" i="40"/>
  <c r="T16" i="40"/>
  <c r="T20" i="40" s="1"/>
  <c r="R16" i="40"/>
  <c r="R20" i="40" s="1"/>
  <c r="T15" i="39"/>
  <c r="T19" i="39" s="1"/>
  <c r="U11" i="39"/>
  <c r="U15" i="39" s="1"/>
  <c r="U19" i="39" s="1"/>
  <c r="C20" i="34"/>
  <c r="Z11" i="41" s="1"/>
  <c r="Z15" i="41" s="1"/>
  <c r="Z16" i="41" s="1"/>
  <c r="L20" i="34"/>
  <c r="L27" i="34"/>
  <c r="L18" i="34"/>
  <c r="E22" i="34"/>
  <c r="C18" i="34"/>
  <c r="Z20" i="41" l="1"/>
  <c r="AF23" i="41"/>
  <c r="AF13" i="41"/>
  <c r="X11" i="41"/>
  <c r="X24" i="41"/>
  <c r="U16" i="40"/>
  <c r="U20" i="40" s="1"/>
  <c r="AH102" i="41"/>
  <c r="AF127" i="41"/>
  <c r="AF112" i="41" s="1"/>
  <c r="AF87" i="41"/>
  <c r="T17" i="39"/>
  <c r="AF139" i="41"/>
  <c r="AF141" i="41" s="1"/>
  <c r="U17" i="39"/>
  <c r="AH139" i="41"/>
  <c r="AH141" i="41" s="1"/>
  <c r="T18" i="40"/>
  <c r="AF143" i="41"/>
  <c r="AF145" i="41" s="1"/>
  <c r="R18" i="40"/>
  <c r="AD143" i="41"/>
  <c r="AD145" i="41" s="1"/>
  <c r="AB13" i="41"/>
  <c r="AB23" i="41"/>
  <c r="L22" i="34"/>
  <c r="D20" i="2"/>
  <c r="H24" i="2"/>
  <c r="G24" i="2"/>
  <c r="D25" i="2"/>
  <c r="K25" i="2" s="1"/>
  <c r="P110" i="41" s="1"/>
  <c r="X15" i="41" l="1"/>
  <c r="X16" i="41" s="1"/>
  <c r="X21" i="41" s="1"/>
  <c r="AH143" i="41"/>
  <c r="AH145" i="41" s="1"/>
  <c r="U18" i="40"/>
  <c r="AH127" i="41"/>
  <c r="AH112" i="41" s="1"/>
  <c r="AH87" i="41"/>
  <c r="P137" i="41"/>
  <c r="P133" i="41" s="1"/>
  <c r="H7" i="2"/>
  <c r="G7" i="2"/>
  <c r="C25" i="2"/>
  <c r="D24" i="2"/>
  <c r="K24" i="2" s="1"/>
  <c r="P24" i="2" s="1"/>
  <c r="D7" i="2"/>
  <c r="X20" i="41" l="1"/>
  <c r="R110" i="41"/>
  <c r="R137" i="41"/>
  <c r="R133" i="41" s="1"/>
  <c r="D9" i="11"/>
  <c r="E9" i="11" s="1"/>
  <c r="N7" i="2"/>
  <c r="C24" i="2"/>
  <c r="P25" i="2" s="1"/>
  <c r="N25" i="2"/>
  <c r="C32" i="11"/>
  <c r="D8" i="2" l="1"/>
  <c r="F11" i="11" l="1"/>
  <c r="F18" i="11" l="1"/>
  <c r="F32" i="11" s="1"/>
  <c r="C5" i="2" l="1"/>
  <c r="C15" i="2"/>
  <c r="E4" i="2"/>
  <c r="G4" i="2"/>
  <c r="H4" i="2"/>
  <c r="E22" i="2" l="1"/>
  <c r="E14" i="2"/>
  <c r="E6" i="2" l="1"/>
  <c r="E10" i="2" l="1"/>
  <c r="E13" i="2" s="1"/>
  <c r="E17" i="2" s="1"/>
  <c r="E27" i="33" s="1"/>
  <c r="E29" i="33" s="1"/>
  <c r="G8" i="2" l="1"/>
  <c r="N8" i="2" l="1"/>
  <c r="G6" i="2"/>
  <c r="H6" i="2"/>
  <c r="G14" i="2"/>
  <c r="H14" i="2"/>
  <c r="D14" i="2"/>
  <c r="D4" i="2"/>
  <c r="N9" i="2" l="1"/>
  <c r="C4" i="2"/>
  <c r="D10" i="11"/>
  <c r="G12" i="2"/>
  <c r="G11" i="2"/>
  <c r="H11" i="2"/>
  <c r="H12" i="2"/>
  <c r="D6" i="2"/>
  <c r="D11" i="11" l="1"/>
  <c r="E10" i="11"/>
  <c r="E11" i="11" s="1"/>
  <c r="D18" i="11"/>
  <c r="D12" i="2"/>
  <c r="D11" i="2"/>
  <c r="G10" i="2"/>
  <c r="G13" i="2" s="1"/>
  <c r="G17" i="2" s="1"/>
  <c r="H10" i="2"/>
  <c r="H13" i="2" s="1"/>
  <c r="H17" i="2" s="1"/>
  <c r="D32" i="11" l="1"/>
  <c r="E18" i="11"/>
  <c r="E32" i="11" s="1"/>
  <c r="N12" i="2"/>
  <c r="I27" i="33"/>
  <c r="H27" i="2"/>
  <c r="H18" i="2"/>
  <c r="H20" i="2" s="1"/>
  <c r="P14" i="45" s="1"/>
  <c r="G27" i="2"/>
  <c r="G18" i="2"/>
  <c r="N11" i="2"/>
  <c r="D10" i="2"/>
  <c r="H18" i="33" l="1"/>
  <c r="G20" i="2"/>
  <c r="I18" i="33"/>
  <c r="H22" i="2"/>
  <c r="D27" i="33"/>
  <c r="V24" i="41" s="1"/>
  <c r="N27" i="33"/>
  <c r="D13" i="2"/>
  <c r="C13" i="2" s="1"/>
  <c r="K20" i="2" l="1"/>
  <c r="P11" i="41" s="1"/>
  <c r="C20" i="2"/>
  <c r="R11" i="41" s="1"/>
  <c r="T24" i="41"/>
  <c r="G22" i="2"/>
  <c r="H20" i="33"/>
  <c r="N18" i="33"/>
  <c r="D18" i="33"/>
  <c r="I20" i="33"/>
  <c r="H14" i="45"/>
  <c r="D17" i="2"/>
  <c r="C17" i="2" s="1"/>
  <c r="R15" i="41" l="1"/>
  <c r="I29" i="33"/>
  <c r="P29" i="45"/>
  <c r="H29" i="45"/>
  <c r="D20" i="33"/>
  <c r="V11" i="41" s="1"/>
  <c r="V15" i="41" s="1"/>
  <c r="N20" i="33"/>
  <c r="H29" i="33"/>
  <c r="D27" i="2"/>
  <c r="C27" i="2" s="1"/>
  <c r="R24" i="41" s="1"/>
  <c r="D18" i="2"/>
  <c r="C18" i="2" s="1"/>
  <c r="H22" i="33"/>
  <c r="I22" i="33"/>
  <c r="V20" i="41" l="1"/>
  <c r="V16" i="41"/>
  <c r="R16" i="41"/>
  <c r="R20" i="41"/>
  <c r="T11" i="41"/>
  <c r="T15" i="41" s="1"/>
  <c r="T16" i="41" s="1"/>
  <c r="N22" i="33"/>
  <c r="D22" i="2"/>
  <c r="K4" i="2"/>
  <c r="J13" i="2"/>
  <c r="K13" i="2" s="1"/>
  <c r="T17" i="41" l="1"/>
  <c r="X17" i="41" s="1"/>
  <c r="T20" i="41"/>
  <c r="J17" i="2"/>
  <c r="J18" i="2" s="1"/>
  <c r="K18" i="2" s="1"/>
  <c r="K17" i="2" l="1"/>
  <c r="J27" i="2"/>
  <c r="K27" i="2" s="1"/>
  <c r="P24" i="41" s="1"/>
  <c r="P15" i="41" s="1"/>
  <c r="X18" i="41"/>
  <c r="X22" i="41"/>
  <c r="T21" i="41"/>
  <c r="J22" i="2"/>
  <c r="P20" i="41" l="1"/>
  <c r="P16" i="41"/>
  <c r="P17" i="41" s="1"/>
  <c r="X13" i="41"/>
  <c r="X23" i="41"/>
  <c r="T22" i="41"/>
  <c r="T18" i="41"/>
  <c r="K22" i="2"/>
  <c r="T13" i="41" l="1"/>
  <c r="P21" i="41"/>
  <c r="T23" i="41"/>
  <c r="P22" i="41" l="1"/>
  <c r="P18" i="41"/>
  <c r="P23" i="41" l="1"/>
  <c r="P13" i="41"/>
</calcChain>
</file>

<file path=xl/comments1.xml><?xml version="1.0" encoding="utf-8"?>
<comments xmlns="http://schemas.openxmlformats.org/spreadsheetml/2006/main">
  <authors>
    <author>Administrator</author>
  </authors>
  <commentList>
    <comment ref="B12" authorId="0">
      <text>
        <r>
          <rPr>
            <b/>
            <sz val="9"/>
            <color indexed="81"/>
            <rFont val="Tahoma"/>
            <family val="2"/>
            <charset val="204"/>
          </rPr>
          <t>Administrator:</t>
        </r>
        <r>
          <rPr>
            <sz val="9"/>
            <color indexed="81"/>
            <rFont val="Tahoma"/>
            <family val="2"/>
            <charset val="204"/>
          </rPr>
          <t xml:space="preserve">
Стоимость материалов и запасных частей, расходуемых на содержание, эксплуатацию и ремонт зданий, сооружений и оборудования и других основных средств общехозяйственного назначения, включая отопительную и электрическую сети, водоснабжение и канализацию.
Стоимость ремонта основных средств, выполняемого:
- сторонними организациями.
Стоимость топлива, газа, энергии, воды, потребляемых на хозяйственные нужды.
Затраты на проведение технических осмотров основных средств.
</t>
        </r>
      </text>
    </comment>
    <comment ref="B13" authorId="0">
      <text>
        <r>
          <rPr>
            <b/>
            <sz val="9"/>
            <color indexed="81"/>
            <rFont val="Tahoma"/>
            <family val="2"/>
            <charset val="204"/>
          </rPr>
          <t>Administrator:</t>
        </r>
        <r>
          <rPr>
            <sz val="9"/>
            <color indexed="81"/>
            <rFont val="Tahoma"/>
            <family val="2"/>
            <charset val="204"/>
          </rPr>
          <t xml:space="preserve">
Оплата труда аппарата управления организацией, рабочих, занятых содержанием и эксплуатацией зданий и сооружений, обслуживанием оборудования общехозяйственного назначения.
Страховые взносы на обязательное социальное страхование от основной и дополнительной заработной платы аппарата управления организации и прочего общехозяйственного персонала
</t>
        </r>
      </text>
    </comment>
    <comment ref="B14" authorId="0">
      <text>
        <r>
          <rPr>
            <b/>
            <sz val="9"/>
            <color indexed="81"/>
            <rFont val="Tahoma"/>
            <family val="2"/>
            <charset val="204"/>
          </rPr>
          <t>Administrator:</t>
        </r>
        <r>
          <rPr>
            <sz val="9"/>
            <color indexed="81"/>
            <rFont val="Tahoma"/>
            <family val="2"/>
            <charset val="204"/>
          </rPr>
          <t xml:space="preserve">
Затраты на испытания для определения качества материалов собственного изготовления и поступающих в организацию со стороны
</t>
        </r>
      </text>
    </comment>
    <comment ref="B15" authorId="0">
      <text>
        <r>
          <rPr>
            <b/>
            <sz val="9"/>
            <color indexed="81"/>
            <rFont val="Tahoma"/>
            <family val="2"/>
            <charset val="204"/>
          </rPr>
          <t>Administrator:</t>
        </r>
        <r>
          <rPr>
            <sz val="9"/>
            <color indexed="81"/>
            <rFont val="Tahoma"/>
            <family val="2"/>
            <charset val="204"/>
          </rPr>
          <t xml:space="preserve">
Аренда офисных помещений
Канцелярские, типографские, почтово-телеграфные и телефонные расходы.
Суммы налогов и сборов (за исключением страховых взносов на обязательное социальное страхование и налога на прибыль), начисляемых в порядке, установленном законодательством Российской Федерации.
Расходы на обязательное страхование имущества в пределах страховых тарифов, предусмотренных законодательством Российской Федерации.
Расходы на юридические, информационные, консультационные и аудиторские услуги (включая "Интернет") в пределах норм, согласованных с заказчиком.
Плата за воду, забираемую организацией из водохозяйственных систем, в пределах установленных лимитов.
Затраты на получение банковской гарантии в качестве обеспечения исполнения контракта. 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C11" authorId="0">
      <text>
        <r>
          <rPr>
            <b/>
            <sz val="9"/>
            <color indexed="81"/>
            <rFont val="Tahoma"/>
            <family val="2"/>
            <charset val="204"/>
          </rPr>
          <t>Administrator:</t>
        </r>
        <r>
          <rPr>
            <sz val="9"/>
            <color indexed="81"/>
            <rFont val="Tahoma"/>
            <family val="2"/>
            <charset val="204"/>
          </rPr>
          <t xml:space="preserve">
добавить дельту</t>
        </r>
      </text>
    </comment>
    <comment ref="C12" authorId="0">
      <text>
        <r>
          <rPr>
            <b/>
            <sz val="9"/>
            <color indexed="81"/>
            <rFont val="Tahoma"/>
            <family val="2"/>
            <charset val="204"/>
          </rPr>
          <t>Administrator:</t>
        </r>
        <r>
          <rPr>
            <sz val="9"/>
            <color indexed="81"/>
            <rFont val="Tahoma"/>
            <family val="2"/>
            <charset val="204"/>
          </rPr>
          <t xml:space="preserve">
добавить дельту</t>
        </r>
      </text>
    </comment>
    <comment ref="G20" authorId="0">
      <text>
        <r>
          <rPr>
            <b/>
            <sz val="9"/>
            <color indexed="81"/>
            <rFont val="Tahoma"/>
            <family val="2"/>
            <charset val="204"/>
          </rPr>
          <t>Administrator:</t>
        </r>
        <r>
          <rPr>
            <sz val="9"/>
            <color indexed="81"/>
            <rFont val="Tahoma"/>
            <family val="2"/>
            <charset val="204"/>
          </rPr>
          <t xml:space="preserve">
доход в особом порядке</t>
        </r>
      </text>
    </comment>
    <comment ref="H20" authorId="0">
      <text>
        <r>
          <rPr>
            <b/>
            <sz val="9"/>
            <color indexed="81"/>
            <rFont val="Tahoma"/>
            <family val="2"/>
            <charset val="204"/>
          </rPr>
          <t>Administrator:</t>
        </r>
        <r>
          <rPr>
            <sz val="9"/>
            <color indexed="81"/>
            <rFont val="Tahoma"/>
            <family val="2"/>
            <charset val="204"/>
          </rPr>
          <t xml:space="preserve">
доход в особом порядке</t>
        </r>
      </text>
    </comment>
  </commentList>
</comments>
</file>

<file path=xl/comments3.xml><?xml version="1.0" encoding="utf-8"?>
<comments xmlns="http://schemas.openxmlformats.org/spreadsheetml/2006/main">
  <authors>
    <author>Administrator</author>
  </authors>
  <commentList>
    <comment ref="H20" authorId="0">
      <text>
        <r>
          <rPr>
            <b/>
            <sz val="9"/>
            <color indexed="81"/>
            <rFont val="Tahoma"/>
            <family val="2"/>
            <charset val="204"/>
          </rPr>
          <t>Administrator:</t>
        </r>
        <r>
          <rPr>
            <sz val="9"/>
            <color indexed="81"/>
            <rFont val="Tahoma"/>
            <family val="2"/>
            <charset val="204"/>
          </rPr>
          <t xml:space="preserve">
доход в особом порядке</t>
        </r>
      </text>
    </comment>
    <comment ref="I20" authorId="0">
      <text>
        <r>
          <rPr>
            <b/>
            <sz val="9"/>
            <color indexed="81"/>
            <rFont val="Tahoma"/>
            <family val="2"/>
            <charset val="204"/>
          </rPr>
          <t>Administrator:</t>
        </r>
        <r>
          <rPr>
            <sz val="9"/>
            <color indexed="81"/>
            <rFont val="Tahoma"/>
            <family val="2"/>
            <charset val="204"/>
          </rPr>
          <t xml:space="preserve">
доход в особом порядке</t>
        </r>
      </text>
    </comment>
    <comment ref="L20" authorId="0">
      <text>
        <r>
          <rPr>
            <b/>
            <sz val="9"/>
            <color indexed="81"/>
            <rFont val="Tahoma"/>
            <family val="2"/>
            <charset val="204"/>
          </rPr>
          <t>Administrator:</t>
        </r>
        <r>
          <rPr>
            <sz val="9"/>
            <color indexed="81"/>
            <rFont val="Tahoma"/>
            <family val="2"/>
            <charset val="204"/>
          </rPr>
          <t xml:space="preserve">
доход в особом порядке</t>
        </r>
      </text>
    </comment>
  </commentList>
</comments>
</file>

<file path=xl/sharedStrings.xml><?xml version="1.0" encoding="utf-8"?>
<sst xmlns="http://schemas.openxmlformats.org/spreadsheetml/2006/main" count="2022" uniqueCount="389">
  <si>
    <t>Сведения об объемах поставки продукции, в том числе по государственному оборонному заказу, включая экспортные поставки</t>
  </si>
  <si>
    <t>(наименование организации-поставщика (подрядчика, исполнителя))</t>
  </si>
  <si>
    <t>№ строки</t>
  </si>
  <si>
    <t>Наименование</t>
  </si>
  <si>
    <t>Единица
измерения</t>
  </si>
  <si>
    <t>в целом по предприятию</t>
  </si>
  <si>
    <t>в т.ч. по государственным
контрактам (контрактам) гособоронзаказа</t>
  </si>
  <si>
    <t>в т.ч. по государственным контрактам (контрактам) гособоронзаказа</t>
  </si>
  <si>
    <t>в т.ч. на экспорт</t>
  </si>
  <si>
    <t>план</t>
  </si>
  <si>
    <t>Выручка (нетто) от реализации</t>
  </si>
  <si>
    <t>тыс. руб.</t>
  </si>
  <si>
    <t>продукции (без НДС)</t>
  </si>
  <si>
    <t>Финансовый результат (+ прибыль/</t>
  </si>
  <si>
    <t>- убыток) от реализации продукции</t>
  </si>
  <si>
    <t>2.1</t>
  </si>
  <si>
    <t>валовая прибыль (убыток)</t>
  </si>
  <si>
    <t>2.2</t>
  </si>
  <si>
    <t>прибыль (убыток) от продаж</t>
  </si>
  <si>
    <t>2.3</t>
  </si>
  <si>
    <t>прибыль (убыток) до налогообложения</t>
  </si>
  <si>
    <t>2.4</t>
  </si>
  <si>
    <t>чистая прибыль (убыток)</t>
  </si>
  <si>
    <t>Уровень рентабельности</t>
  </si>
  <si>
    <t>3.1</t>
  </si>
  <si>
    <t>строка 2.1 / строка 4</t>
  </si>
  <si>
    <t>%</t>
  </si>
  <si>
    <t>3.2</t>
  </si>
  <si>
    <t>строка 2.2 / строка 4</t>
  </si>
  <si>
    <t>3.3</t>
  </si>
  <si>
    <t>строка 2.3 / строка 4</t>
  </si>
  <si>
    <t>3.4</t>
  </si>
  <si>
    <t>строка 2.4 / строка 4</t>
  </si>
  <si>
    <t>Себестоимость реализованной продукции</t>
  </si>
  <si>
    <t>в том числе:</t>
  </si>
  <si>
    <t>4.1</t>
  </si>
  <si>
    <t>Затраты на материалы (за вычетом</t>
  </si>
  <si>
    <t>возвратных отходов), всего</t>
  </si>
  <si>
    <t>из них:</t>
  </si>
  <si>
    <t>4.1.1</t>
  </si>
  <si>
    <t>затраты на покупные комплектующие</t>
  </si>
  <si>
    <t>изделия и полуфабрикаты</t>
  </si>
  <si>
    <t>4.1.2</t>
  </si>
  <si>
    <t>работы и услуги сторонних организаций</t>
  </si>
  <si>
    <t>производственного характера</t>
  </si>
  <si>
    <t>4.2</t>
  </si>
  <si>
    <t>Затраты сторонних организаций по</t>
  </si>
  <si>
    <t>выполнению составных частей НИР (ОКР)</t>
  </si>
  <si>
    <t>Выпуск товарной продукции (без НДС)</t>
  </si>
  <si>
    <t>Себестоимость товарной продукции</t>
  </si>
  <si>
    <t>6.1</t>
  </si>
  <si>
    <t>6.1.1</t>
  </si>
  <si>
    <t>6.1.2</t>
  </si>
  <si>
    <t>6.2</t>
  </si>
  <si>
    <t>6.3</t>
  </si>
  <si>
    <t>Затраты на оплату труда, всего</t>
  </si>
  <si>
    <t>6.3.1</t>
  </si>
  <si>
    <t>основная заработная плата основных</t>
  </si>
  <si>
    <t>производственных рабочих (непосредственных исполнителей)</t>
  </si>
  <si>
    <t>- рабочие-сдельщики</t>
  </si>
  <si>
    <t>- рабочие-повременщики</t>
  </si>
  <si>
    <t>- научные, инженерные и технические</t>
  </si>
  <si>
    <t>работники</t>
  </si>
  <si>
    <t>6.3.1.1</t>
  </si>
  <si>
    <t>Технологическая трудоемкость</t>
  </si>
  <si>
    <t>6.3.2</t>
  </si>
  <si>
    <t>дополнительная заработная плата основных</t>
  </si>
  <si>
    <t>Среднесписочная численность</t>
  </si>
  <si>
    <t>чел.</t>
  </si>
  <si>
    <t>работников предприятия, всего</t>
  </si>
  <si>
    <t>7.1</t>
  </si>
  <si>
    <t>среднесписочная численность основных</t>
  </si>
  <si>
    <t>7.2</t>
  </si>
  <si>
    <t>среднесписочная численность</t>
  </si>
  <si>
    <t>работников, относящихся к</t>
  </si>
  <si>
    <t>общепроизводственным расходам</t>
  </si>
  <si>
    <t>- административно-управленческий</t>
  </si>
  <si>
    <t>персонал</t>
  </si>
  <si>
    <t>- вспомогательные работники</t>
  </si>
  <si>
    <t>7.3</t>
  </si>
  <si>
    <t>общехозяйственным расходам</t>
  </si>
  <si>
    <t>Основная заработная плата работников</t>
  </si>
  <si>
    <t>предприятия, всего:</t>
  </si>
  <si>
    <t>8.1</t>
  </si>
  <si>
    <t>основные производственные рабочие (непосредственные исполнители):</t>
  </si>
  <si>
    <t>8.2</t>
  </si>
  <si>
    <t>работники, относящиеся к</t>
  </si>
  <si>
    <t>общепроизводственным расходам:</t>
  </si>
  <si>
    <t>8.3</t>
  </si>
  <si>
    <t>общехозяйственным расходам:</t>
  </si>
  <si>
    <t>Норматив основной заработной платы</t>
  </si>
  <si>
    <t>основных производственных рабочих (непосредственных исполнителей)</t>
  </si>
  <si>
    <t>Дополнительная заработная плата</t>
  </si>
  <si>
    <t>работников предприятия, всего:</t>
  </si>
  <si>
    <t>10.1</t>
  </si>
  <si>
    <t>10.2</t>
  </si>
  <si>
    <t>10.3</t>
  </si>
  <si>
    <t>Норматив дополнительной заработной</t>
  </si>
  <si>
    <t>платы основных производственных</t>
  </si>
  <si>
    <t>рабочих (непосредственных исполнителей)</t>
  </si>
  <si>
    <t>Технологическая трудоемкость, всего</t>
  </si>
  <si>
    <t>12.1</t>
  </si>
  <si>
    <t>12.2</t>
  </si>
  <si>
    <t>12.3</t>
  </si>
  <si>
    <t>Общепроизводственные расходы</t>
  </si>
  <si>
    <t>13.1</t>
  </si>
  <si>
    <t>13.2</t>
  </si>
  <si>
    <t>Норматив общепроизводственных</t>
  </si>
  <si>
    <t>расходов</t>
  </si>
  <si>
    <t>Общехозяйственные расходы</t>
  </si>
  <si>
    <t>14.1</t>
  </si>
  <si>
    <t>14.2</t>
  </si>
  <si>
    <t>Норматив общехозяйственных расходов</t>
  </si>
  <si>
    <t>Норматив транспортно-заготовительных</t>
  </si>
  <si>
    <t>Норматив внепроизводственных расходов</t>
  </si>
  <si>
    <t>Используемые сокращения и их расшифровка:</t>
  </si>
  <si>
    <t>ООО "САЙТЭК"</t>
  </si>
  <si>
    <t>Отчет за 2017 г.</t>
  </si>
  <si>
    <t>-</t>
  </si>
  <si>
    <t>Нокаут-С</t>
  </si>
  <si>
    <t>Енот</t>
  </si>
  <si>
    <t>Гамбит</t>
  </si>
  <si>
    <t>СХСА</t>
  </si>
  <si>
    <t>ЕКСД</t>
  </si>
  <si>
    <t>всего</t>
  </si>
  <si>
    <t>1. затраты на материалы</t>
  </si>
  <si>
    <t>8. затраты на оплату труда всего, в том числе</t>
  </si>
  <si>
    <t>9. основная заработная плата</t>
  </si>
  <si>
    <t>10. дополнительная заработная плата</t>
  </si>
  <si>
    <t>11. отчисления на социальные нужды</t>
  </si>
  <si>
    <t>16. накладные расходы, в том числе</t>
  </si>
  <si>
    <t>16.1 общехозяйственные затраты</t>
  </si>
  <si>
    <t>16.2 общепроизводственные затраты</t>
  </si>
  <si>
    <t>18. себестоимость работ, выполненных собственными силами</t>
  </si>
  <si>
    <t>19. затраты по работам, выполняемым сторонними организациями</t>
  </si>
  <si>
    <t>20. полная себестоимость</t>
  </si>
  <si>
    <t>выручка (акты)</t>
  </si>
  <si>
    <t>5. покупные комплектующие изделия</t>
  </si>
  <si>
    <t>19.1 затраты сторонних организаций по выполнению составных частей</t>
  </si>
  <si>
    <t>19.2 другие работы и услуги, выполняемые сторонними организациями</t>
  </si>
  <si>
    <t>ГОЗ</t>
  </si>
  <si>
    <t>трудоемкость (чел / мес)</t>
  </si>
  <si>
    <t>себестоимость реализованной продукции</t>
  </si>
  <si>
    <t>Педант-С 1</t>
  </si>
  <si>
    <t>Педант-С 2</t>
  </si>
  <si>
    <t>(руб.)</t>
  </si>
  <si>
    <t>№ ста-тьи</t>
  </si>
  <si>
    <t>План</t>
  </si>
  <si>
    <t>Факт</t>
  </si>
  <si>
    <t>Предложено организацией-поставщиком</t>
  </si>
  <si>
    <t>Всего</t>
  </si>
  <si>
    <t>В том числе по госконтрактам (контрактам) ГОЗ</t>
  </si>
  <si>
    <t>Амортизация основных средств общехозяйственного назначения</t>
  </si>
  <si>
    <t>Итого</t>
  </si>
  <si>
    <t>Отношение общехозяйственных расходов к базе  распределения, %</t>
  </si>
  <si>
    <t>Содержание и ремонт основных средств общехозяйственного назначения</t>
  </si>
  <si>
    <t>Содержание аппарата управления организацией и прочего общехозяйственного персонала</t>
  </si>
  <si>
    <t>Испытания, содержание лабораторий</t>
  </si>
  <si>
    <t>Прочие работы общехозяйственного назначения</t>
  </si>
  <si>
    <t>Форма 10 (10д)</t>
  </si>
  <si>
    <t>факт</t>
  </si>
  <si>
    <t>оценка (факт)</t>
  </si>
  <si>
    <t>Основная зарплата ОПР (непосредственных исполнителей)</t>
  </si>
  <si>
    <t>Доп. зарплата ОПР (непосредственных исполнителей)</t>
  </si>
  <si>
    <t>в % к осн. зарплате ОПР (непосредственных исполнителей),%</t>
  </si>
  <si>
    <t xml:space="preserve">                        Структура дополнительной заработной платы, руб.</t>
  </si>
  <si>
    <t>№ п/п</t>
  </si>
  <si>
    <t xml:space="preserve">Наименование выплат   </t>
  </si>
  <si>
    <t>1</t>
  </si>
  <si>
    <t>Оплата ежегодных основных и дополнительных отпусков, предусмотренных законодательством Российской Федерации (без денежной компенсации за неиспользованный отпуск)</t>
  </si>
  <si>
    <t>Оплата дополнительных отпусков, предоставленных работникам в соответствии с коллективными договорами, соглашениями, трудовыми договорами</t>
  </si>
  <si>
    <t>Оплата труда при сокращенной продолжительности работы работников в возрасте до восемнадцати лет, инвалидов I и II групп, женщин, работающих в районах Крайнего Севера и приравненных к ним местностях</t>
  </si>
  <si>
    <t>Оплата учебных отпусков, предоставленных работникам, обучающимся в образовательных учреждениях</t>
  </si>
  <si>
    <t>Оплата (кроме стипендии) на период обучения работников, направленных на профессиональную подготовку, переподготовку, повышение квалификации или обучение вторым профессиям с отрывом от работы</t>
  </si>
  <si>
    <t>Оплата (компенсация) работникам, привлекаемым к исполнению государственных или общественных обязанностей</t>
  </si>
  <si>
    <t>7</t>
  </si>
  <si>
    <t>Оплата работникам за время медицинского обследования, дней сдачи крови и ее компонентов и предоставленных в связи с этим дней отдыха</t>
  </si>
  <si>
    <t>8</t>
  </si>
  <si>
    <t>Оплата времени простоя по вине работодателя, оплата времени простоя по причинам, не зависящим от работодателя и работника</t>
  </si>
  <si>
    <t>9</t>
  </si>
  <si>
    <t>Оплата за время приостановки работы из-за нарушения норм охраны труда не по вине работника</t>
  </si>
  <si>
    <t>10</t>
  </si>
  <si>
    <t>Оплата времени вынужденного прогула</t>
  </si>
  <si>
    <t>11</t>
  </si>
  <si>
    <t>Оплата дней невыхода на работу по болезни за счет средств организации, не оформленных листками временной нетрудоспособности</t>
  </si>
  <si>
    <t>12</t>
  </si>
  <si>
    <t>Доплаты до среднего заработка, начисленные сверх сумм пособий по временной нетрудоспособности</t>
  </si>
  <si>
    <t>13</t>
  </si>
  <si>
    <t>Оплата нерабочих праздничных дней рабочим-сдельщикам и рабочим-повременщикам, исходя из часовой тарифной ставки</t>
  </si>
  <si>
    <t>14</t>
  </si>
  <si>
    <t>ОПР –  основные производственные рабочие;
ГОЗ – государственный оборонный заказ.</t>
  </si>
  <si>
    <t>в том числе по госконтрактам (контрактам) ГОЗ</t>
  </si>
  <si>
    <t>Амортизация зданий, сооружений, производственного оборудования, транспортных средств (имущества)</t>
  </si>
  <si>
    <t>Отношение общепроизводственных расходов к базе  распределения, %</t>
  </si>
  <si>
    <t>Форма № 22.1 (22.1д)</t>
  </si>
  <si>
    <t>УТВЕРЖДАЮ</t>
  </si>
  <si>
    <t>Наименование статей расходов</t>
  </si>
  <si>
    <t>Единица измерения</t>
  </si>
  <si>
    <t>Значение</t>
  </si>
  <si>
    <t>Трудоемкость производственной программы</t>
  </si>
  <si>
    <t>1.1</t>
  </si>
  <si>
    <t>в том числе технологическая трудоемкость</t>
  </si>
  <si>
    <t>2</t>
  </si>
  <si>
    <t>Расходы на оплату труда:</t>
  </si>
  <si>
    <t>руб.</t>
  </si>
  <si>
    <t>основная заработная плата производственных рабочих (непосредственных исполнителей)</t>
  </si>
  <si>
    <t>стоимость нормо-часа ИТР конструкторских подразделений</t>
  </si>
  <si>
    <t>стоимость нормо-часа основных производственных рабочих (непосредственных исполнителей)</t>
  </si>
  <si>
    <t>дополнительная заработная плата</t>
  </si>
  <si>
    <t>(%)</t>
  </si>
  <si>
    <t>3</t>
  </si>
  <si>
    <t>Отчисления от фонда оплаты труда</t>
  </si>
  <si>
    <t>страховые взносы</t>
  </si>
  <si>
    <t>размер страховых взносов на обязательное страхование от несчастных случаев на производстве и профессиональных заболеваний</t>
  </si>
  <si>
    <t>4</t>
  </si>
  <si>
    <t>Накладные расходы:</t>
  </si>
  <si>
    <t>4.3</t>
  </si>
  <si>
    <t xml:space="preserve">(%) </t>
  </si>
  <si>
    <t>ИТР – инженерно-технический работник;
НИР (ОКР) – научно-исследовательская работа (опытно-конструкторская работа).</t>
  </si>
  <si>
    <t>21. прибыль по структуре цены</t>
  </si>
  <si>
    <t>Ремонт зданий, сооружений, производственного оборудования, транспортных средств</t>
  </si>
  <si>
    <t>Содержание и эксплуатация имущества общепроизводственного назначения</t>
  </si>
  <si>
    <t>Форма 11д</t>
  </si>
  <si>
    <t>ГОЗ – государственный оборонный заказ.</t>
  </si>
  <si>
    <t>Форма № 12д</t>
  </si>
  <si>
    <t>Форма № 21д</t>
  </si>
  <si>
    <t xml:space="preserve">НДС – налог на добавленную стоимость;
НИР (ОКР) – научно-исследовательская работа (опытно-конструкторская работа).
</t>
  </si>
  <si>
    <t>Смета и расчет</t>
  </si>
  <si>
    <t>База распределения общехозяйственных расходов (сумма основной и дополнительной заработных плат  производственных рабочих)</t>
  </si>
  <si>
    <t>Наименование статей</t>
  </si>
  <si>
    <t>Применяе-мый индекс цен</t>
  </si>
  <si>
    <t>(подпись)</t>
  </si>
  <si>
    <t>"____" ___________ 20 ___ г.</t>
  </si>
  <si>
    <t>Генеральный директор ООО "САЙТЭК"</t>
  </si>
  <si>
    <t>Краюшкин Д.В.</t>
  </si>
  <si>
    <t>Первый год производства  (год 2018)</t>
  </si>
  <si>
    <t>2-й год производства (год 2019)</t>
  </si>
  <si>
    <t>Педант-С 3</t>
  </si>
  <si>
    <t>Натиск-2 1</t>
  </si>
  <si>
    <t>Реалия</t>
  </si>
  <si>
    <t>Первый год производства
(год 2018)</t>
  </si>
  <si>
    <t>2-й год  производства  (год 2019)</t>
  </si>
  <si>
    <t>База распределения общепроизводственных расходов (сумма основной и дополнительной заработных плат  производственных рабочих)</t>
  </si>
  <si>
    <t>Прочие работы общепроизводственного назначения</t>
  </si>
  <si>
    <t>__________________________   Краюшкин Д.В.</t>
  </si>
  <si>
    <t>________________________</t>
  </si>
  <si>
    <t>Иные, не перечисленные выше - денежная компенсация за неиспользованный отпуск при увольнении</t>
  </si>
  <si>
    <t>Период, предшествующий отчетному ( 2017 г.)</t>
  </si>
  <si>
    <t>Отчетный период / период, предшествующий планируемому (текущий  2018 г.)</t>
  </si>
  <si>
    <t>Планируемый период
( 2019 г.)</t>
  </si>
  <si>
    <t>Период, предшествующий отчетному  ( 2017 г.)</t>
  </si>
  <si>
    <r>
      <t>Основание</t>
    </r>
    <r>
      <rPr>
        <b/>
        <sz val="11"/>
        <rFont val="Times New Roman"/>
        <family val="1"/>
        <charset val="204"/>
      </rPr>
      <t/>
    </r>
  </si>
  <si>
    <t>чел/час</t>
  </si>
  <si>
    <t>общехозяйственные расходы / база распределения расходов (сумма основной и дополнительной заработных плат прозводственных рабочих (непосредственных исполнителей)</t>
  </si>
  <si>
    <t>общепроизводственные расходы / база распределения расходов (сумма основной и дополнительной заработных плат прозводственных рабочих (непосредственных исполнителей)</t>
  </si>
  <si>
    <t>внепроизводственные расходы / (база распределения)</t>
  </si>
  <si>
    <t>Уровень транспортно-заготовительных расходов / (база распределения)</t>
  </si>
  <si>
    <t>База распределения общепроизводственных расходов (сумма основной и дополнтельной заработных плат производственных рабочих (непосредственных исполнителей )</t>
  </si>
  <si>
    <t>База распределения общехозяйственных расходов (сумма основной и дополнительной заработных плат производственных рабочих (непосредственных исполнителей)</t>
  </si>
  <si>
    <t>Предусмотрено бизнес-планом на первый год производства (2018 г.)</t>
  </si>
  <si>
    <t>Предусмотрено бизнес-планом на 2019 г.</t>
  </si>
  <si>
    <t>руб./мес.</t>
  </si>
  <si>
    <t>(стоимость чел./месяца)</t>
  </si>
  <si>
    <t>Форма № 22.2д</t>
  </si>
  <si>
    <t>Расчет (обоснование) трудоемкости</t>
  </si>
  <si>
    <t>Наименование товаров, работ, услуг</t>
  </si>
  <si>
    <t xml:space="preserve">ПЛАН </t>
  </si>
  <si>
    <t>ФАКТ</t>
  </si>
  <si>
    <t xml:space="preserve">Стоимость н/ч 1-го изделия,
руб. </t>
  </si>
  <si>
    <t>Годовой объем поставки
(штуки)</t>
  </si>
  <si>
    <t>Трудоемкость всего (гр.3 * гр.5)</t>
  </si>
  <si>
    <t>Стоимость н/ч 1-го изделия,
руб.</t>
  </si>
  <si>
    <t>Трудоемкость всего (гр.8 * гр.10)</t>
  </si>
  <si>
    <t>Трудоемкость всего (гр.13 * гр.15)</t>
  </si>
  <si>
    <t>Стоимость н/ч 1-го изделия
 руб.</t>
  </si>
  <si>
    <t>Трудоемкость всего (гр.18 * гр.20)</t>
  </si>
  <si>
    <t>Итого по ГОЗ</t>
  </si>
  <si>
    <t>Итого прочая продукция</t>
  </si>
  <si>
    <t xml:space="preserve">"__" ___________ 20__ г. </t>
  </si>
  <si>
    <t>_________________________  Краюшкин Д.В.
                          (подпись)</t>
  </si>
  <si>
    <t>Первый год производства (год 2018)</t>
  </si>
  <si>
    <t>Трудоемкость 1-го изделия, 
чел/час</t>
  </si>
  <si>
    <t>Сумма основной и дополнительной заработных плат основных производственных рабочих (непосредственных исполнителей) всего (база распределения накладных расходов)</t>
  </si>
  <si>
    <r>
      <t>Сумма основной и дополнительной заработных плат основных производственных рабочих (непосредственных исполнителей) всего (база распределения накладных расходов)</t>
    </r>
    <r>
      <rPr>
        <sz val="10"/>
        <rFont val="Times New Roman"/>
        <family val="1"/>
        <charset val="204"/>
      </rPr>
      <t xml:space="preserve">                                              </t>
    </r>
  </si>
  <si>
    <r>
      <t>Сумма основной и дополнительной заработных плат основных производственных рабочих (непосредственных исполнителей) всего (база распределения накладных расходов)</t>
    </r>
    <r>
      <rPr>
        <vertAlign val="superscript"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                                           </t>
    </r>
  </si>
  <si>
    <r>
      <t>Сумма основной и дополнительной заработных плат основных производственных рабочих (непосредственных исполнителей) всего (база распределения накладных расходов)</t>
    </r>
    <r>
      <rPr>
        <vertAlign val="superscript"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                                         </t>
    </r>
  </si>
  <si>
    <t>ГОЗ – государственный оборонный заказ;
НИР (ОКР) – научно-исследовательская работа (опытно-конструкторская работа);
ТП – технический проект;
ЭТП – эскизно-технический проект;
ПИ – программное изделие;
РКД – рабочая и конструкторская документация;
ОО – опытный образец;
ЦОД – центр обработки данных.</t>
  </si>
  <si>
    <t>трудоемкость (чел / час)</t>
  </si>
  <si>
    <t>СХСА-М</t>
  </si>
  <si>
    <t>НИР</t>
  </si>
  <si>
    <t>сопровождение</t>
  </si>
  <si>
    <t>модификация</t>
  </si>
  <si>
    <t>основная заработная плата</t>
  </si>
  <si>
    <t>ОЗП + ДЗП</t>
  </si>
  <si>
    <t>создание</t>
  </si>
  <si>
    <t>стоимость</t>
  </si>
  <si>
    <t>Натиск-2 2</t>
  </si>
  <si>
    <t>Трудоемкость всего (гр.23 * гр.25)</t>
  </si>
  <si>
    <t>2-й год (год 2019) - ранее поданные цифры</t>
  </si>
  <si>
    <t>Сведения о нормативах и экономических показателях для определения цен на товары, работы, услуги
по государственному оборонному заказу на 2020 г.</t>
  </si>
  <si>
    <t>Предусмотрено бизнес-планом на 2020 г.</t>
  </si>
  <si>
    <t>2-й год производства (год 2020)</t>
  </si>
  <si>
    <t>Первый год производства
(год 2019)</t>
  </si>
  <si>
    <t>Отчетный период / период, предшествующий планируемому (текущий  2019 г.)</t>
  </si>
  <si>
    <t>Планируемый период
( 2020 г.)</t>
  </si>
  <si>
    <t>Первый год производства (год 2019)</t>
  </si>
  <si>
    <t>Расчет-обоснование уровня (%) дополнительной заработной платы основных производственных рабочих (ОПР) (непосредственных исполнителей) по ГОЗ на 2019 год</t>
  </si>
  <si>
    <t>Расчет-обоснование уровня (%) дополнительной заработной платы основных производственных рабочих (ОПР) (непосредственных исполнителей) по ГОЗ на 2020 год</t>
  </si>
  <si>
    <t>Период, предшествующий отчетному ( 2018 г.)</t>
  </si>
  <si>
    <t>Второй год производства (год 2020)</t>
  </si>
  <si>
    <t>нормативы</t>
  </si>
  <si>
    <t>21. прибыль</t>
  </si>
  <si>
    <t>прибыль</t>
  </si>
  <si>
    <t>трудоемкость</t>
  </si>
  <si>
    <t>ОЗП</t>
  </si>
  <si>
    <t>ДЗП</t>
  </si>
  <si>
    <t>ФОТ</t>
  </si>
  <si>
    <t>хоз</t>
  </si>
  <si>
    <t>произв</t>
  </si>
  <si>
    <t>субподряд</t>
  </si>
  <si>
    <t>собств себестоимость</t>
  </si>
  <si>
    <t>полная себестоимость</t>
  </si>
  <si>
    <t>СВ</t>
  </si>
  <si>
    <t>Енот 2019 добавка ТТ</t>
  </si>
  <si>
    <t>Енот 2018 добавка ТТ</t>
  </si>
  <si>
    <t>Гамбит 2018 добавка ТТ</t>
  </si>
  <si>
    <t>Гамбит 2019 добавка ТТ</t>
  </si>
  <si>
    <t>Натиск-2 3</t>
  </si>
  <si>
    <t>доход (выручка)</t>
  </si>
  <si>
    <t>Педант-С 4+5</t>
  </si>
  <si>
    <t>Расчет-обоснование уровня (%) дополнительной заработной платы основных производственных рабочих (ОПР) (непосредственных исполнителей) по ГОЗ на 2021 год</t>
  </si>
  <si>
    <t>Планируемый период
( 2021 г.)</t>
  </si>
  <si>
    <t>Отчетный период / период, предшествующий планируемому ( 2019 г.)</t>
  </si>
  <si>
    <t>Отчетный период / период, предшествующий планируемому ( 2018 г.)</t>
  </si>
  <si>
    <t>Период, предшествующий отчетному ( 2019 г.)</t>
  </si>
  <si>
    <t>Отчетный период / период, предшествующий планируемому ( 2020 г.)</t>
  </si>
  <si>
    <t>Расчет-обоснование уровня (%) дополнительной заработной платы основных производственных рабочих (ОПР) (непосредственных исполнителей) по ГОЗ на 2022 год</t>
  </si>
  <si>
    <t>Период, предшествующий отчетному ( 2020 г.)</t>
  </si>
  <si>
    <t>Отчетный период / период, предшествующий планируемому ( 2021 г.)</t>
  </si>
  <si>
    <t>Планируемый период
( 2022 г.)</t>
  </si>
  <si>
    <t xml:space="preserve">        общепроизводственных  расходов  на  2019-2022 год</t>
  </si>
  <si>
    <t>Прочее</t>
  </si>
  <si>
    <t xml:space="preserve">Отчетный период / период, предшествующий планируемому (год 2018) </t>
  </si>
  <si>
    <t xml:space="preserve">      общехозяйственных расходов на 2019-2022 год</t>
  </si>
  <si>
    <t xml:space="preserve">Отчетный период / период, предшествующий планируемому
(год 2018) </t>
  </si>
  <si>
    <t>3-й год производства (год 2021)</t>
  </si>
  <si>
    <t>4-й год производства (год 2022)</t>
  </si>
  <si>
    <t>Сведения о нормативах и экономических показателях для определения цен на товары, работы, услуги
по государственному оборонному заказу на 2021 г.</t>
  </si>
  <si>
    <t>Сведения о нормативах и экономических показателях для определения цен на товары, работы, услуги
по государственному оборонному заказу на 2022 г.</t>
  </si>
  <si>
    <t>Предусмотрено бизнес-планом на 2021 г.</t>
  </si>
  <si>
    <t>Предусмотрено бизнес-планом на 2022 г.</t>
  </si>
  <si>
    <t>Отчетный период / период, предшествующий планируемому (год 2018)</t>
  </si>
  <si>
    <t>Третий год производства (год 2021)</t>
  </si>
  <si>
    <t>Четвертый год производства (год 2022)</t>
  </si>
  <si>
    <t>Аванпроект "Енот"</t>
  </si>
  <si>
    <t>Аванпроект "Гамбит"</t>
  </si>
  <si>
    <t>СЧ НИР "Нокаут-С"</t>
  </si>
  <si>
    <t>СЧ ОКР "Педант-Ст"</t>
  </si>
  <si>
    <t>ОКР "Натиск-2"</t>
  </si>
  <si>
    <t>НИР "Реалия"</t>
  </si>
  <si>
    <t>Прочие работы и услуги</t>
  </si>
  <si>
    <t>Трудоемкость всего (гр.28 * гр.30)</t>
  </si>
  <si>
    <t>2-й год  производства  
(год 2020)</t>
  </si>
  <si>
    <t>3-й год  производства  
(год 2021)</t>
  </si>
  <si>
    <t>4-й год  производства  
(год 2022)</t>
  </si>
  <si>
    <t>Предусмотрено бизнес-планом на 2018 г.</t>
  </si>
  <si>
    <t>Первый заместитель 
генерального директора 
ООО "САЙТЭК"</t>
  </si>
  <si>
    <t>Генеральный директор 
ООО "САЙТЭК"</t>
  </si>
  <si>
    <t>Козлов Д.Ю.</t>
  </si>
  <si>
    <t>_______________   Краюшкин Д.В.</t>
  </si>
  <si>
    <t>_________________  Краюшкин Д.В.</t>
  </si>
  <si>
    <t>Первый заместитель
генерального директора
ООО "САЙТЭК"</t>
  </si>
  <si>
    <t>Первый заместитель
генерального директора 
ООО "САЙТЭК"</t>
  </si>
  <si>
    <t>________________________   Козлов Д.Ю.</t>
  </si>
  <si>
    <t>_____________________________ Козлов Д.Ю.
                    (подпись)</t>
  </si>
  <si>
    <t>ГОЗ Прочее</t>
  </si>
  <si>
    <t>Камертон 1</t>
  </si>
  <si>
    <t>Камертон 2</t>
  </si>
  <si>
    <t>для выхода на норматив 2018 года</t>
  </si>
  <si>
    <t>факт добавка к ФОТ и накладным</t>
  </si>
  <si>
    <t>для выхода на норматив 2019 года</t>
  </si>
  <si>
    <t>для выхода на норматив 2020 года</t>
  </si>
  <si>
    <t>для выхода на норматив 2021 года</t>
  </si>
  <si>
    <t>для выхода на норматив 2022 года</t>
  </si>
  <si>
    <t>ОКР "Камертон"</t>
  </si>
  <si>
    <t>Расчет-обоснование уровня (%) дополнительной заработной платы основных производственных рабочих (ОПР) (непосредственных исполнителей) по ГОЗ на 2018 год</t>
  </si>
  <si>
    <t>Главный бухгалтер
ООО "САЙТЭК"</t>
  </si>
  <si>
    <t>Крикун Л.С.</t>
  </si>
  <si>
    <t>Расчет-обоснование уровня (%) дополнительной заработной платы основных производственных рабочих (ОПР) (непосредственных исполнителей)
 по ГОЗ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</si>
</sst>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#,##0.0"/>
    <numFmt numFmtId="165" formatCode="0_)"/>
    <numFmt numFmtId="166" formatCode="0.0"/>
    <numFmt numFmtId="167" formatCode="#,##0.0000"/>
    <numFmt numFmtId="168" formatCode="#,##0.00000000"/>
    <numFmt numFmtId="169" formatCode="0.0000"/>
    <numFmt numFmtId="170" formatCode="0.00000"/>
    <numFmt numFmtId="171" formatCode="0.000"/>
    <numFmt numFmtId="172" formatCode="_-* #,##0\ _₽_-;\-* #,##0\ _₽_-;_-* &quot;-&quot;??\ _₽_-;_-@_-"/>
    <numFmt numFmtId="173" formatCode="0.0%"/>
    <numFmt numFmtId="174" formatCode="0.0000000"/>
    <numFmt numFmtId="175" formatCode="#,##0.000"/>
    <numFmt numFmtId="176" formatCode="#,##0.00000"/>
  </numFmts>
  <fonts count="4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Helv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trike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Courier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trike/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.5"/>
      <color rgb="FF2D2D2D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  <font>
      <sz val="9"/>
      <color rgb="FF000000"/>
      <name val="Times New Roman"/>
      <family val="1"/>
      <charset val="204"/>
    </font>
    <font>
      <sz val="8"/>
      <name val="Arial"/>
      <family val="2"/>
    </font>
    <font>
      <i/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5" fillId="0" borderId="0"/>
    <xf numFmtId="0" fontId="15" fillId="0" borderId="0"/>
    <xf numFmtId="0" fontId="21" fillId="0" borderId="0">
      <alignment vertical="top"/>
    </xf>
    <xf numFmtId="0" fontId="22" fillId="0" borderId="0"/>
    <xf numFmtId="0" fontId="23" fillId="0" borderId="0"/>
    <xf numFmtId="0" fontId="22" fillId="0" borderId="0"/>
    <xf numFmtId="0" fontId="15" fillId="0" borderId="0"/>
    <xf numFmtId="0" fontId="4" fillId="0" borderId="0" applyFont="0" applyFill="0" applyBorder="0" applyAlignment="0" applyProtection="0"/>
    <xf numFmtId="0" fontId="22" fillId="0" borderId="0"/>
    <xf numFmtId="2" fontId="24" fillId="3" borderId="14" applyProtection="0"/>
    <xf numFmtId="2" fontId="24" fillId="3" borderId="14" applyProtection="0"/>
    <xf numFmtId="2" fontId="25" fillId="0" borderId="0" applyFill="0" applyBorder="0" applyProtection="0"/>
    <xf numFmtId="2" fontId="26" fillId="0" borderId="0" applyFill="0" applyBorder="0" applyProtection="0"/>
    <xf numFmtId="2" fontId="26" fillId="4" borderId="14" applyProtection="0"/>
    <xf numFmtId="2" fontId="26" fillId="5" borderId="14" applyProtection="0"/>
    <xf numFmtId="2" fontId="26" fillId="6" borderId="14" applyProtection="0"/>
    <xf numFmtId="2" fontId="26" fillId="6" borderId="14" applyProtection="0">
      <alignment horizontal="center"/>
    </xf>
    <xf numFmtId="2" fontId="26" fillId="5" borderId="14" applyProtection="0">
      <alignment horizont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1" fillId="0" borderId="0"/>
    <xf numFmtId="0" fontId="28" fillId="0" borderId="0"/>
    <xf numFmtId="165" fontId="2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2" fillId="0" borderId="0"/>
    <xf numFmtId="0" fontId="42" fillId="0" borderId="0"/>
  </cellStyleXfs>
  <cellXfs count="525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4" fillId="0" borderId="0" xfId="1" applyFont="1" applyFill="1"/>
    <xf numFmtId="0" fontId="4" fillId="0" borderId="0" xfId="1" applyFont="1" applyFill="1" applyAlignment="1">
      <alignment vertical="center"/>
    </xf>
    <xf numFmtId="0" fontId="6" fillId="0" borderId="0" xfId="1" applyFont="1" applyFill="1"/>
    <xf numFmtId="0" fontId="6" fillId="0" borderId="0" xfId="1" applyFont="1" applyFill="1" applyAlignment="1">
      <alignment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 vertical="center" textRotation="90"/>
    </xf>
    <xf numFmtId="0" fontId="4" fillId="0" borderId="3" xfId="1" applyFont="1" applyFill="1" applyBorder="1" applyAlignment="1">
      <alignment horizontal="center" vertical="center" textRotation="90" wrapText="1"/>
    </xf>
    <xf numFmtId="0" fontId="4" fillId="0" borderId="4" xfId="1" applyFont="1" applyFill="1" applyBorder="1" applyAlignment="1">
      <alignment horizontal="center" vertical="top"/>
    </xf>
    <xf numFmtId="0" fontId="4" fillId="0" borderId="2" xfId="1" applyFont="1" applyFill="1" applyBorder="1" applyAlignment="1">
      <alignment horizontal="left" vertical="center"/>
    </xf>
    <xf numFmtId="0" fontId="4" fillId="0" borderId="9" xfId="1" applyFont="1" applyFill="1" applyBorder="1" applyAlignment="1">
      <alignment horizontal="left" vertical="center"/>
    </xf>
    <xf numFmtId="49" fontId="4" fillId="0" borderId="9" xfId="1" applyNumberFormat="1" applyFont="1" applyFill="1" applyBorder="1" applyAlignment="1">
      <alignment horizontal="left" vertical="center"/>
    </xf>
    <xf numFmtId="49" fontId="4" fillId="0" borderId="4" xfId="1" applyNumberFormat="1" applyFont="1" applyFill="1" applyBorder="1" applyAlignment="1">
      <alignment horizontal="center"/>
    </xf>
    <xf numFmtId="0" fontId="4" fillId="0" borderId="4" xfId="1" applyFont="1" applyFill="1" applyBorder="1" applyAlignment="1">
      <alignment horizontal="right" vertical="center"/>
    </xf>
    <xf numFmtId="0" fontId="4" fillId="0" borderId="0" xfId="1" applyFont="1" applyFill="1" applyAlignment="1"/>
    <xf numFmtId="0" fontId="4" fillId="0" borderId="4" xfId="1" applyFont="1" applyFill="1" applyBorder="1" applyAlignment="1">
      <alignment horizontal="right" vertical="center" wrapText="1"/>
    </xf>
    <xf numFmtId="0" fontId="4" fillId="0" borderId="4" xfId="1" applyFont="1" applyFill="1" applyBorder="1" applyAlignment="1">
      <alignment horizontal="left" vertical="center"/>
    </xf>
    <xf numFmtId="49" fontId="4" fillId="0" borderId="2" xfId="1" applyNumberFormat="1" applyFont="1" applyFill="1" applyBorder="1" applyAlignment="1">
      <alignment horizontal="center"/>
    </xf>
    <xf numFmtId="0" fontId="4" fillId="0" borderId="9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49" fontId="4" fillId="0" borderId="7" xfId="1" applyNumberFormat="1" applyFont="1" applyFill="1" applyBorder="1" applyAlignment="1">
      <alignment horizontal="left" vertical="center"/>
    </xf>
    <xf numFmtId="0" fontId="4" fillId="0" borderId="7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>
      <alignment horizontal="left" vertical="center"/>
    </xf>
    <xf numFmtId="49" fontId="4" fillId="0" borderId="2" xfId="1" applyNumberFormat="1" applyFont="1" applyFill="1" applyBorder="1" applyAlignment="1">
      <alignment horizontal="left" vertical="center"/>
    </xf>
    <xf numFmtId="0" fontId="6" fillId="0" borderId="0" xfId="1" applyFont="1" applyFill="1" applyAlignment="1">
      <alignment horizontal="left" wrapText="1"/>
    </xf>
    <xf numFmtId="0" fontId="6" fillId="0" borderId="0" xfId="1" applyFont="1" applyFill="1" applyAlignment="1">
      <alignment horizontal="left" vertical="center" wrapText="1"/>
    </xf>
    <xf numFmtId="0" fontId="4" fillId="0" borderId="0" xfId="1" applyFont="1" applyFill="1" applyBorder="1" applyAlignment="1">
      <alignment vertical="center" wrapText="1"/>
    </xf>
    <xf numFmtId="49" fontId="4" fillId="0" borderId="0" xfId="1" applyNumberFormat="1" applyFont="1" applyFill="1" applyAlignment="1"/>
    <xf numFmtId="0" fontId="4" fillId="0" borderId="0" xfId="1" applyFont="1" applyFill="1" applyBorder="1" applyAlignment="1">
      <alignment vertical="center"/>
    </xf>
    <xf numFmtId="0" fontId="4" fillId="0" borderId="0" xfId="1" applyFont="1" applyFill="1" applyAlignment="1">
      <alignment horizontal="left"/>
    </xf>
    <xf numFmtId="0" fontId="8" fillId="0" borderId="0" xfId="1" applyFont="1" applyFill="1" applyBorder="1" applyAlignment="1"/>
    <xf numFmtId="49" fontId="2" fillId="0" borderId="0" xfId="1" applyNumberFormat="1" applyFont="1" applyFill="1" applyBorder="1" applyAlignment="1">
      <alignment vertical="center"/>
    </xf>
    <xf numFmtId="49" fontId="4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vertical="top"/>
    </xf>
    <xf numFmtId="0" fontId="4" fillId="0" borderId="0" xfId="1" applyFont="1" applyFill="1" applyBorder="1"/>
    <xf numFmtId="0" fontId="4" fillId="0" borderId="0" xfId="1" applyFont="1" applyFill="1" applyBorder="1" applyAlignment="1"/>
    <xf numFmtId="0" fontId="4" fillId="0" borderId="0" xfId="1" applyFont="1" applyFill="1" applyBorder="1" applyAlignment="1">
      <alignment vertical="top"/>
    </xf>
    <xf numFmtId="0" fontId="6" fillId="0" borderId="0" xfId="1" applyFont="1" applyFill="1" applyBorder="1" applyAlignment="1">
      <alignment vertical="top"/>
    </xf>
    <xf numFmtId="0" fontId="6" fillId="0" borderId="0" xfId="1" applyFont="1" applyFill="1" applyBorder="1" applyAlignment="1">
      <alignment vertical="center"/>
    </xf>
    <xf numFmtId="4" fontId="4" fillId="0" borderId="4" xfId="1" applyNumberFormat="1" applyFont="1" applyFill="1" applyBorder="1" applyAlignment="1">
      <alignment horizontal="center" vertical="center"/>
    </xf>
    <xf numFmtId="3" fontId="4" fillId="0" borderId="4" xfId="1" applyNumberFormat="1" applyFont="1" applyFill="1" applyBorder="1" applyAlignment="1">
      <alignment horizontal="center" vertical="center"/>
    </xf>
    <xf numFmtId="0" fontId="11" fillId="0" borderId="13" xfId="1" applyFont="1" applyBorder="1" applyAlignment="1">
      <alignment horizontal="right"/>
    </xf>
    <xf numFmtId="0" fontId="3" fillId="0" borderId="0" xfId="1" applyFont="1" applyAlignment="1">
      <alignment horizontal="right"/>
    </xf>
    <xf numFmtId="0" fontId="11" fillId="0" borderId="0" xfId="1" applyFont="1" applyFill="1" applyBorder="1" applyAlignment="1">
      <alignment horizontal="right"/>
    </xf>
    <xf numFmtId="0" fontId="12" fillId="0" borderId="3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4" fontId="12" fillId="2" borderId="3" xfId="0" applyNumberFormat="1" applyFont="1" applyFill="1" applyBorder="1"/>
    <xf numFmtId="4" fontId="0" fillId="2" borderId="3" xfId="2" applyNumberFormat="1" applyFont="1" applyFill="1" applyBorder="1"/>
    <xf numFmtId="4" fontId="12" fillId="0" borderId="3" xfId="0" applyNumberFormat="1" applyFont="1" applyBorder="1"/>
    <xf numFmtId="2" fontId="0" fillId="0" borderId="0" xfId="0" applyNumberFormat="1"/>
    <xf numFmtId="4" fontId="0" fillId="0" borderId="3" xfId="2" applyNumberFormat="1" applyFont="1" applyFill="1" applyBorder="1"/>
    <xf numFmtId="0" fontId="0" fillId="0" borderId="0" xfId="0" applyAlignment="1">
      <alignment horizontal="right"/>
    </xf>
    <xf numFmtId="1" fontId="4" fillId="0" borderId="4" xfId="1" applyNumberFormat="1" applyFont="1" applyFill="1" applyBorder="1" applyAlignment="1">
      <alignment horizontal="center" vertical="center"/>
    </xf>
    <xf numFmtId="4" fontId="0" fillId="0" borderId="0" xfId="0" applyNumberFormat="1"/>
    <xf numFmtId="0" fontId="4" fillId="0" borderId="0" xfId="4" applyNumberFormat="1" applyFont="1" applyFill="1" applyBorder="1" applyAlignment="1" applyProtection="1">
      <alignment vertical="top"/>
    </xf>
    <xf numFmtId="0" fontId="16" fillId="0" borderId="0" xfId="0" applyFont="1" applyFill="1"/>
    <xf numFmtId="0" fontId="17" fillId="0" borderId="0" xfId="4" applyNumberFormat="1" applyFont="1" applyFill="1" applyBorder="1" applyAlignment="1" applyProtection="1">
      <alignment vertical="top"/>
    </xf>
    <xf numFmtId="0" fontId="18" fillId="0" borderId="0" xfId="4" applyNumberFormat="1" applyFont="1" applyFill="1" applyBorder="1" applyAlignment="1" applyProtection="1">
      <alignment horizontal="center" vertical="top"/>
    </xf>
    <xf numFmtId="0" fontId="4" fillId="0" borderId="0" xfId="4" applyNumberFormat="1" applyFont="1" applyFill="1" applyBorder="1" applyAlignment="1" applyProtection="1">
      <alignment horizontal="right" vertical="top"/>
    </xf>
    <xf numFmtId="0" fontId="4" fillId="0" borderId="3" xfId="4" applyNumberFormat="1" applyFont="1" applyFill="1" applyBorder="1" applyAlignment="1" applyProtection="1">
      <alignment horizontal="center" vertical="top"/>
    </xf>
    <xf numFmtId="49" fontId="4" fillId="0" borderId="3" xfId="5" applyNumberFormat="1" applyFont="1" applyFill="1" applyBorder="1" applyAlignment="1">
      <alignment horizontal="left" vertical="center" wrapText="1"/>
    </xf>
    <xf numFmtId="3" fontId="4" fillId="0" borderId="3" xfId="4" applyNumberFormat="1" applyFont="1" applyFill="1" applyBorder="1" applyAlignment="1" applyProtection="1">
      <alignment horizontal="center" vertical="center"/>
    </xf>
    <xf numFmtId="3" fontId="18" fillId="0" borderId="3" xfId="4" applyNumberFormat="1" applyFont="1" applyFill="1" applyBorder="1" applyAlignment="1" applyProtection="1">
      <alignment horizontal="center" vertical="center"/>
    </xf>
    <xf numFmtId="9" fontId="18" fillId="0" borderId="3" xfId="3" applyFont="1" applyFill="1" applyBorder="1" applyAlignment="1" applyProtection="1">
      <alignment horizontal="center" vertical="center"/>
    </xf>
    <xf numFmtId="3" fontId="18" fillId="0" borderId="3" xfId="3" applyNumberFormat="1" applyFont="1" applyFill="1" applyBorder="1" applyAlignment="1" applyProtection="1">
      <alignment horizontal="center" vertical="center"/>
    </xf>
    <xf numFmtId="9" fontId="18" fillId="0" borderId="0" xfId="3" applyFont="1" applyFill="1" applyBorder="1" applyAlignment="1" applyProtection="1">
      <alignment horizontal="center" vertical="center"/>
    </xf>
    <xf numFmtId="0" fontId="4" fillId="0" borderId="0" xfId="1" applyFont="1" applyFill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horizontal="center"/>
    </xf>
    <xf numFmtId="49" fontId="4" fillId="0" borderId="0" xfId="1" applyNumberFormat="1" applyFont="1" applyFill="1" applyBorder="1" applyAlignment="1"/>
    <xf numFmtId="2" fontId="4" fillId="0" borderId="0" xfId="4" applyNumberFormat="1" applyFont="1" applyFill="1" applyBorder="1" applyAlignment="1" applyProtection="1">
      <alignment horizontal="left" vertical="top"/>
    </xf>
    <xf numFmtId="0" fontId="2" fillId="0" borderId="0" xfId="1" applyFont="1" applyFill="1" applyAlignment="1">
      <alignment vertical="center" wrapText="1"/>
    </xf>
    <xf numFmtId="49" fontId="3" fillId="0" borderId="0" xfId="39" applyNumberFormat="1" applyFont="1" applyFill="1" applyAlignment="1">
      <alignment vertical="center" wrapText="1"/>
    </xf>
    <xf numFmtId="0" fontId="3" fillId="0" borderId="0" xfId="39" applyFont="1" applyFill="1" applyAlignment="1">
      <alignment vertical="center" wrapText="1"/>
    </xf>
    <xf numFmtId="0" fontId="3" fillId="0" borderId="0" xfId="39" applyFont="1" applyFill="1" applyAlignment="1">
      <alignment horizontal="right" vertical="center" wrapText="1"/>
    </xf>
    <xf numFmtId="0" fontId="30" fillId="0" borderId="0" xfId="39" applyFont="1" applyFill="1" applyAlignment="1">
      <alignment vertical="center" wrapText="1"/>
    </xf>
    <xf numFmtId="0" fontId="3" fillId="0" borderId="0" xfId="1" applyFont="1" applyFill="1" applyAlignment="1">
      <alignment vertical="center"/>
    </xf>
    <xf numFmtId="0" fontId="30" fillId="0" borderId="0" xfId="1" applyFont="1" applyFill="1" applyAlignment="1">
      <alignment vertical="center"/>
    </xf>
    <xf numFmtId="49" fontId="5" fillId="0" borderId="0" xfId="39" applyNumberFormat="1" applyFont="1" applyFill="1" applyBorder="1" applyAlignment="1">
      <alignment horizontal="center" vertical="center" wrapText="1"/>
    </xf>
    <xf numFmtId="0" fontId="3" fillId="0" borderId="0" xfId="39" applyFont="1" applyFill="1" applyBorder="1" applyAlignment="1">
      <alignment horizontal="right" vertical="center" wrapText="1"/>
    </xf>
    <xf numFmtId="3" fontId="2" fillId="0" borderId="3" xfId="39" applyNumberFormat="1" applyFont="1" applyFill="1" applyBorder="1" applyAlignment="1">
      <alignment horizontal="center" vertical="center" wrapText="1"/>
    </xf>
    <xf numFmtId="2" fontId="2" fillId="0" borderId="3" xfId="39" applyNumberFormat="1" applyFont="1" applyFill="1" applyBorder="1" applyAlignment="1">
      <alignment horizontal="center" vertical="center" wrapText="1"/>
    </xf>
    <xf numFmtId="49" fontId="17" fillId="0" borderId="0" xfId="39" applyNumberFormat="1" applyFont="1" applyFill="1" applyBorder="1" applyAlignment="1">
      <alignment horizontal="center" vertical="center" wrapText="1"/>
    </xf>
    <xf numFmtId="0" fontId="17" fillId="0" borderId="1" xfId="39" applyFont="1" applyFill="1" applyBorder="1" applyAlignment="1">
      <alignment horizontal="center" vertical="center" wrapText="1"/>
    </xf>
    <xf numFmtId="0" fontId="2" fillId="0" borderId="0" xfId="39" applyFont="1" applyFill="1" applyBorder="1" applyAlignment="1">
      <alignment horizontal="right" vertical="center" wrapText="1"/>
    </xf>
    <xf numFmtId="3" fontId="2" fillId="0" borderId="10" xfId="39" applyNumberFormat="1" applyFont="1" applyFill="1" applyBorder="1" applyAlignment="1">
      <alignment horizontal="center" vertical="center" wrapText="1"/>
    </xf>
    <xf numFmtId="0" fontId="2" fillId="0" borderId="10" xfId="39" applyFont="1" applyFill="1" applyBorder="1" applyAlignment="1">
      <alignment horizontal="center" vertical="center" wrapText="1"/>
    </xf>
    <xf numFmtId="0" fontId="2" fillId="0" borderId="3" xfId="39" applyFont="1" applyFill="1" applyBorder="1" applyAlignment="1">
      <alignment horizontal="left" vertical="center" wrapText="1"/>
    </xf>
    <xf numFmtId="0" fontId="17" fillId="0" borderId="3" xfId="39" applyFont="1" applyFill="1" applyBorder="1" applyAlignment="1">
      <alignment horizontal="left" vertical="center" wrapText="1"/>
    </xf>
    <xf numFmtId="49" fontId="2" fillId="0" borderId="0" xfId="39" applyNumberFormat="1" applyFont="1" applyFill="1" applyBorder="1" applyAlignment="1">
      <alignment horizontal="center" vertical="center" wrapText="1"/>
    </xf>
    <xf numFmtId="0" fontId="17" fillId="0" borderId="0" xfId="39" applyFont="1" applyFill="1" applyBorder="1" applyAlignment="1">
      <alignment horizontal="left" vertical="center" wrapText="1"/>
    </xf>
    <xf numFmtId="166" fontId="2" fillId="0" borderId="0" xfId="39" applyNumberFormat="1" applyFont="1" applyFill="1" applyBorder="1" applyAlignment="1">
      <alignment horizontal="center" vertical="center" wrapText="1"/>
    </xf>
    <xf numFmtId="0" fontId="30" fillId="0" borderId="0" xfId="39" applyFont="1" applyFill="1" applyBorder="1" applyAlignment="1">
      <alignment vertical="center" wrapText="1"/>
    </xf>
    <xf numFmtId="0" fontId="2" fillId="0" borderId="0" xfId="39" applyFont="1" applyFill="1" applyAlignment="1">
      <alignment vertical="center" wrapText="1"/>
    </xf>
    <xf numFmtId="0" fontId="30" fillId="0" borderId="0" xfId="39" applyFont="1" applyFill="1" applyBorder="1" applyAlignment="1">
      <alignment vertical="center"/>
    </xf>
    <xf numFmtId="49" fontId="30" fillId="0" borderId="0" xfId="39" applyNumberFormat="1" applyFont="1" applyFill="1" applyAlignment="1">
      <alignment vertical="center" wrapText="1"/>
    </xf>
    <xf numFmtId="0" fontId="2" fillId="0" borderId="0" xfId="1" applyFont="1" applyFill="1" applyBorder="1" applyAlignment="1">
      <alignment vertical="center"/>
    </xf>
    <xf numFmtId="49" fontId="33" fillId="0" borderId="0" xfId="39" applyNumberFormat="1" applyFont="1" applyFill="1" applyBorder="1" applyAlignment="1">
      <alignment horizontal="center" vertical="center" wrapText="1"/>
    </xf>
    <xf numFmtId="0" fontId="33" fillId="0" borderId="0" xfId="39" applyFont="1" applyFill="1" applyBorder="1" applyAlignment="1">
      <alignment horizontal="left" vertical="center" wrapText="1"/>
    </xf>
    <xf numFmtId="0" fontId="30" fillId="0" borderId="0" xfId="39" applyFont="1" applyFill="1" applyBorder="1" applyAlignment="1">
      <alignment horizontal="center" vertical="center" wrapText="1"/>
    </xf>
    <xf numFmtId="167" fontId="4" fillId="0" borderId="3" xfId="4" applyNumberFormat="1" applyFont="1" applyFill="1" applyBorder="1" applyAlignment="1" applyProtection="1">
      <alignment horizontal="center" vertical="center"/>
    </xf>
    <xf numFmtId="0" fontId="4" fillId="0" borderId="0" xfId="1" applyFont="1" applyFill="1" applyAlignment="1">
      <alignment horizontal="right"/>
    </xf>
    <xf numFmtId="0" fontId="16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7" fillId="0" borderId="0" xfId="0" applyFont="1" applyFill="1"/>
    <xf numFmtId="0" fontId="2" fillId="0" borderId="0" xfId="0" applyFont="1" applyFill="1"/>
    <xf numFmtId="0" fontId="3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wrapText="1"/>
    </xf>
    <xf numFmtId="0" fontId="2" fillId="0" borderId="3" xfId="0" applyNumberFormat="1" applyFont="1" applyFill="1" applyBorder="1" applyAlignment="1">
      <alignment horizontal="center" vertical="center"/>
    </xf>
    <xf numFmtId="0" fontId="34" fillId="0" borderId="0" xfId="0" applyFont="1" applyFill="1"/>
    <xf numFmtId="0" fontId="34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10" fontId="2" fillId="0" borderId="3" xfId="0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left" vertical="center" wrapText="1"/>
    </xf>
    <xf numFmtId="0" fontId="2" fillId="0" borderId="0" xfId="39" applyFont="1" applyFill="1" applyBorder="1" applyAlignment="1">
      <alignment vertical="center" wrapText="1"/>
    </xf>
    <xf numFmtId="0" fontId="2" fillId="0" borderId="0" xfId="39" applyFont="1" applyFill="1" applyBorder="1" applyAlignment="1">
      <alignment horizontal="center" vertical="center" wrapText="1"/>
    </xf>
    <xf numFmtId="49" fontId="2" fillId="0" borderId="3" xfId="39" applyNumberFormat="1" applyFont="1" applyFill="1" applyBorder="1" applyAlignment="1">
      <alignment horizontal="center" vertical="center" wrapText="1"/>
    </xf>
    <xf numFmtId="0" fontId="2" fillId="0" borderId="9" xfId="39" applyFont="1" applyFill="1" applyBorder="1" applyAlignment="1">
      <alignment horizontal="center" vertical="center" wrapText="1"/>
    </xf>
    <xf numFmtId="0" fontId="2" fillId="0" borderId="3" xfId="39" applyFont="1" applyFill="1" applyBorder="1" applyAlignment="1">
      <alignment horizontal="center" vertical="center" wrapText="1"/>
    </xf>
    <xf numFmtId="0" fontId="5" fillId="0" borderId="0" xfId="39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49" fontId="19" fillId="0" borderId="0" xfId="5" applyNumberFormat="1" applyFont="1" applyFill="1" applyBorder="1" applyAlignment="1" applyProtection="1">
      <alignment horizontal="left" vertical="center" wrapText="1"/>
    </xf>
    <xf numFmtId="0" fontId="4" fillId="0" borderId="0" xfId="4" applyNumberFormat="1" applyFont="1" applyFill="1" applyBorder="1" applyAlignment="1" applyProtection="1">
      <alignment horizontal="left" vertical="top"/>
    </xf>
    <xf numFmtId="49" fontId="4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horizontal="center"/>
    </xf>
    <xf numFmtId="49" fontId="4" fillId="0" borderId="4" xfId="1" applyNumberFormat="1" applyFont="1" applyFill="1" applyBorder="1" applyAlignment="1">
      <alignment horizontal="center" vertical="top"/>
    </xf>
    <xf numFmtId="49" fontId="4" fillId="0" borderId="0" xfId="1" applyNumberFormat="1" applyFont="1" applyFill="1" applyAlignment="1">
      <alignment horizontal="left"/>
    </xf>
    <xf numFmtId="0" fontId="35" fillId="0" borderId="0" xfId="0" applyFont="1"/>
    <xf numFmtId="3" fontId="16" fillId="0" borderId="0" xfId="0" applyNumberFormat="1" applyFont="1" applyFill="1"/>
    <xf numFmtId="4" fontId="16" fillId="0" borderId="0" xfId="0" applyNumberFormat="1" applyFont="1" applyFill="1"/>
    <xf numFmtId="167" fontId="16" fillId="0" borderId="0" xfId="0" applyNumberFormat="1" applyFont="1" applyFill="1"/>
    <xf numFmtId="0" fontId="0" fillId="8" borderId="0" xfId="0" applyFill="1"/>
    <xf numFmtId="2" fontId="0" fillId="8" borderId="0" xfId="0" applyNumberFormat="1" applyFill="1"/>
    <xf numFmtId="3" fontId="0" fillId="0" borderId="0" xfId="0" applyNumberFormat="1"/>
    <xf numFmtId="164" fontId="2" fillId="0" borderId="3" xfId="39" applyNumberFormat="1" applyFont="1" applyFill="1" applyBorder="1" applyAlignment="1">
      <alignment horizontal="center" vertical="center" wrapText="1"/>
    </xf>
    <xf numFmtId="166" fontId="2" fillId="0" borderId="3" xfId="39" applyNumberFormat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vertical="center" wrapText="1"/>
    </xf>
    <xf numFmtId="1" fontId="2" fillId="0" borderId="3" xfId="39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9" fontId="4" fillId="0" borderId="4" xfId="1" applyNumberFormat="1" applyFont="1" applyFill="1" applyBorder="1" applyAlignment="1">
      <alignment horizontal="center" vertical="center"/>
    </xf>
    <xf numFmtId="9" fontId="4" fillId="0" borderId="3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/>
    </xf>
    <xf numFmtId="167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67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3" fontId="4" fillId="0" borderId="8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32" fillId="0" borderId="0" xfId="33" applyFont="1" applyFill="1" applyAlignment="1">
      <alignment vertical="top" wrapText="1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4" fontId="12" fillId="0" borderId="3" xfId="0" applyNumberFormat="1" applyFont="1" applyFill="1" applyBorder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3" fontId="12" fillId="2" borderId="3" xfId="0" applyNumberFormat="1" applyFont="1" applyFill="1" applyBorder="1"/>
    <xf numFmtId="3" fontId="0" fillId="2" borderId="3" xfId="2" applyNumberFormat="1" applyFont="1" applyFill="1" applyBorder="1"/>
    <xf numFmtId="3" fontId="12" fillId="0" borderId="3" xfId="0" applyNumberFormat="1" applyFont="1" applyBorder="1"/>
    <xf numFmtId="43" fontId="16" fillId="0" borderId="0" xfId="2" applyFont="1" applyFill="1"/>
    <xf numFmtId="43" fontId="16" fillId="0" borderId="0" xfId="2" applyFont="1" applyFill="1" applyAlignment="1">
      <alignment horizontal="center" vertical="center"/>
    </xf>
    <xf numFmtId="168" fontId="16" fillId="0" borderId="0" xfId="0" applyNumberFormat="1" applyFont="1" applyFill="1"/>
    <xf numFmtId="169" fontId="16" fillId="0" borderId="0" xfId="0" applyNumberFormat="1" applyFont="1" applyFill="1"/>
    <xf numFmtId="170" fontId="16" fillId="0" borderId="0" xfId="0" applyNumberFormat="1" applyFont="1" applyFill="1"/>
    <xf numFmtId="9" fontId="18" fillId="0" borderId="3" xfId="3" applyNumberFormat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>
      <alignment horizontal="center" vertical="top"/>
    </xf>
    <xf numFmtId="0" fontId="30" fillId="0" borderId="0" xfId="1" applyFont="1" applyFill="1" applyBorder="1" applyAlignment="1">
      <alignment horizontal="left"/>
    </xf>
    <xf numFmtId="0" fontId="30" fillId="0" borderId="0" xfId="1" applyFont="1" applyFill="1" applyAlignment="1">
      <alignment horizontal="left"/>
    </xf>
    <xf numFmtId="0" fontId="37" fillId="0" borderId="0" xfId="1" applyFont="1" applyFill="1" applyBorder="1" applyAlignment="1">
      <alignment vertical="top"/>
    </xf>
    <xf numFmtId="0" fontId="30" fillId="0" borderId="0" xfId="1" applyFont="1" applyFill="1" applyBorder="1" applyAlignment="1">
      <alignment vertical="top"/>
    </xf>
    <xf numFmtId="0" fontId="37" fillId="0" borderId="0" xfId="1" applyFont="1" applyFill="1" applyBorder="1" applyAlignment="1"/>
    <xf numFmtId="49" fontId="30" fillId="0" borderId="0" xfId="1" applyNumberFormat="1" applyFont="1" applyFill="1" applyBorder="1" applyAlignment="1"/>
    <xf numFmtId="0" fontId="30" fillId="0" borderId="0" xfId="1" applyFont="1" applyFill="1"/>
    <xf numFmtId="49" fontId="30" fillId="0" borderId="0" xfId="1" applyNumberFormat="1" applyFont="1" applyFill="1" applyAlignment="1"/>
    <xf numFmtId="0" fontId="30" fillId="0" borderId="0" xfId="1" applyFont="1" applyFill="1" applyBorder="1" applyAlignment="1"/>
    <xf numFmtId="49" fontId="4" fillId="0" borderId="0" xfId="5" applyNumberFormat="1" applyFont="1" applyFill="1" applyBorder="1" applyAlignment="1" applyProtection="1">
      <alignment horizontal="left" vertical="center" wrapText="1"/>
    </xf>
    <xf numFmtId="0" fontId="2" fillId="0" borderId="0" xfId="33" applyFont="1" applyFill="1" applyAlignment="1">
      <alignment vertical="top" wrapText="1"/>
    </xf>
    <xf numFmtId="3" fontId="0" fillId="7" borderId="3" xfId="2" applyNumberFormat="1" applyFont="1" applyFill="1" applyBorder="1"/>
    <xf numFmtId="4" fontId="0" fillId="7" borderId="3" xfId="2" applyNumberFormat="1" applyFont="1" applyFill="1" applyBorder="1"/>
    <xf numFmtId="4" fontId="0" fillId="8" borderId="3" xfId="2" applyNumberFormat="1" applyFont="1" applyFill="1" applyBorder="1"/>
    <xf numFmtId="171" fontId="0" fillId="7" borderId="0" xfId="0" applyNumberFormat="1" applyFill="1"/>
    <xf numFmtId="3" fontId="0" fillId="8" borderId="3" xfId="2" applyNumberFormat="1" applyFont="1" applyFill="1" applyBorder="1"/>
    <xf numFmtId="0" fontId="2" fillId="0" borderId="0" xfId="39" applyFont="1" applyFill="1" applyBorder="1" applyAlignment="1">
      <alignment vertical="center" wrapText="1"/>
    </xf>
    <xf numFmtId="0" fontId="2" fillId="0" borderId="0" xfId="39" applyFont="1" applyFill="1" applyBorder="1" applyAlignment="1">
      <alignment horizontal="center" vertical="center" wrapText="1"/>
    </xf>
    <xf numFmtId="0" fontId="5" fillId="0" borderId="0" xfId="39" applyFont="1" applyFill="1" applyBorder="1" applyAlignment="1">
      <alignment horizontal="center" vertical="center" wrapText="1"/>
    </xf>
    <xf numFmtId="169" fontId="0" fillId="0" borderId="0" xfId="0" applyNumberFormat="1"/>
    <xf numFmtId="2" fontId="2" fillId="0" borderId="3" xfId="0" applyNumberFormat="1" applyFont="1" applyFill="1" applyBorder="1" applyAlignment="1">
      <alignment horizontal="center" vertical="center" wrapText="1"/>
    </xf>
    <xf numFmtId="0" fontId="16" fillId="8" borderId="0" xfId="0" applyFont="1" applyFill="1"/>
    <xf numFmtId="0" fontId="16" fillId="8" borderId="0" xfId="0" applyFont="1" applyFill="1" applyAlignment="1">
      <alignment horizontal="center" vertical="center"/>
    </xf>
    <xf numFmtId="0" fontId="16" fillId="8" borderId="0" xfId="0" applyFont="1" applyFill="1" applyAlignment="1">
      <alignment horizontal="center"/>
    </xf>
    <xf numFmtId="0" fontId="20" fillId="8" borderId="0" xfId="0" applyFont="1" applyFill="1" applyBorder="1" applyAlignment="1">
      <alignment wrapText="1"/>
    </xf>
    <xf numFmtId="0" fontId="4" fillId="8" borderId="0" xfId="1" applyFont="1" applyFill="1" applyAlignment="1">
      <alignment vertical="center" wrapText="1"/>
    </xf>
    <xf numFmtId="49" fontId="4" fillId="8" borderId="0" xfId="5" applyNumberFormat="1" applyFont="1" applyFill="1" applyBorder="1" applyAlignment="1" applyProtection="1">
      <alignment vertical="center" wrapText="1"/>
    </xf>
    <xf numFmtId="0" fontId="30" fillId="8" borderId="0" xfId="39" applyFont="1" applyFill="1" applyAlignment="1">
      <alignment vertical="center" wrapText="1"/>
    </xf>
    <xf numFmtId="0" fontId="4" fillId="8" borderId="0" xfId="1" applyFont="1" applyFill="1" applyBorder="1" applyAlignment="1">
      <alignment horizontal="center" vertical="top"/>
    </xf>
    <xf numFmtId="0" fontId="4" fillId="8" borderId="0" xfId="1" applyFont="1" applyFill="1" applyAlignment="1">
      <alignment vertical="center"/>
    </xf>
    <xf numFmtId="0" fontId="4" fillId="8" borderId="0" xfId="0" applyFont="1" applyFill="1" applyAlignment="1">
      <alignment horizontal="left" vertical="center" wrapText="1"/>
    </xf>
    <xf numFmtId="0" fontId="4" fillId="8" borderId="0" xfId="1" applyFont="1" applyFill="1"/>
    <xf numFmtId="0" fontId="4" fillId="8" borderId="0" xfId="0" applyFont="1" applyFill="1" applyAlignment="1">
      <alignment vertical="center" wrapText="1"/>
    </xf>
    <xf numFmtId="0" fontId="4" fillId="8" borderId="0" xfId="1" applyFont="1" applyFill="1" applyAlignment="1">
      <alignment horizontal="center" vertical="center"/>
    </xf>
    <xf numFmtId="0" fontId="2" fillId="8" borderId="0" xfId="1" applyFont="1" applyFill="1" applyAlignment="1">
      <alignment horizontal="center" vertical="center"/>
    </xf>
    <xf numFmtId="0" fontId="2" fillId="8" borderId="0" xfId="1" applyFont="1" applyFill="1" applyAlignment="1">
      <alignment vertical="center"/>
    </xf>
    <xf numFmtId="0" fontId="2" fillId="0" borderId="3" xfId="39" applyFont="1" applyFill="1" applyBorder="1" applyAlignment="1">
      <alignment horizontal="center" vertical="center" wrapText="1"/>
    </xf>
    <xf numFmtId="49" fontId="2" fillId="0" borderId="3" xfId="39" applyNumberFormat="1" applyFont="1" applyFill="1" applyBorder="1" applyAlignment="1">
      <alignment horizontal="center" vertical="center" wrapText="1"/>
    </xf>
    <xf numFmtId="0" fontId="2" fillId="0" borderId="9" xfId="39" applyFont="1" applyFill="1" applyBorder="1" applyAlignment="1">
      <alignment horizontal="center" vertical="center" wrapText="1"/>
    </xf>
    <xf numFmtId="0" fontId="2" fillId="0" borderId="0" xfId="39" applyFont="1" applyFill="1" applyBorder="1" applyAlignment="1">
      <alignment vertical="center" wrapText="1"/>
    </xf>
    <xf numFmtId="0" fontId="30" fillId="0" borderId="0" xfId="1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" fillId="8" borderId="0" xfId="1" applyFont="1" applyFill="1" applyAlignment="1">
      <alignment vertical="top"/>
    </xf>
    <xf numFmtId="0" fontId="4" fillId="0" borderId="0" xfId="4" applyNumberFormat="1" applyFont="1" applyFill="1" applyBorder="1" applyAlignment="1" applyProtection="1">
      <alignment vertical="top" wrapText="1"/>
    </xf>
    <xf numFmtId="4" fontId="4" fillId="0" borderId="0" xfId="4" applyNumberFormat="1" applyFont="1" applyFill="1" applyBorder="1" applyAlignment="1" applyProtection="1">
      <alignment vertical="top"/>
    </xf>
    <xf numFmtId="4" fontId="4" fillId="0" borderId="0" xfId="4" applyNumberFormat="1" applyFont="1" applyFill="1" applyBorder="1" applyAlignment="1" applyProtection="1">
      <alignment horizontal="center" vertical="top"/>
    </xf>
    <xf numFmtId="0" fontId="2" fillId="0" borderId="3" xfId="39" applyFont="1" applyFill="1" applyBorder="1" applyAlignment="1">
      <alignment horizontal="center" vertical="center" wrapText="1"/>
    </xf>
    <xf numFmtId="0" fontId="4" fillId="0" borderId="0" xfId="4" applyNumberFormat="1" applyFont="1" applyFill="1" applyBorder="1" applyAlignment="1" applyProtection="1">
      <alignment horizontal="center" vertical="top"/>
    </xf>
    <xf numFmtId="0" fontId="4" fillId="0" borderId="3" xfId="4" applyNumberFormat="1" applyFont="1" applyFill="1" applyBorder="1" applyAlignment="1" applyProtection="1">
      <alignment horizontal="center" vertical="center" wrapText="1"/>
    </xf>
    <xf numFmtId="0" fontId="4" fillId="0" borderId="3" xfId="4" applyNumberFormat="1" applyFont="1" applyFill="1" applyBorder="1" applyAlignment="1" applyProtection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30" fillId="0" borderId="0" xfId="1" applyFont="1" applyFill="1" applyAlignment="1">
      <alignment horizontal="left" vertical="center" wrapText="1"/>
    </xf>
    <xf numFmtId="0" fontId="30" fillId="0" borderId="1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3" fontId="4" fillId="0" borderId="7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4" fillId="0" borderId="9" xfId="1" applyNumberFormat="1" applyFont="1" applyFill="1" applyBorder="1" applyAlignment="1">
      <alignment horizontal="center" vertical="center"/>
    </xf>
    <xf numFmtId="3" fontId="4" fillId="0" borderId="10" xfId="1" applyNumberFormat="1" applyFont="1" applyFill="1" applyBorder="1" applyAlignment="1">
      <alignment horizontal="center" vertical="center"/>
    </xf>
    <xf numFmtId="3" fontId="4" fillId="0" borderId="1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textRotation="90"/>
    </xf>
    <xf numFmtId="0" fontId="4" fillId="0" borderId="2" xfId="1" applyFont="1" applyFill="1" applyBorder="1" applyAlignment="1">
      <alignment horizontal="center" vertical="center" textRotation="90" wrapText="1"/>
    </xf>
    <xf numFmtId="0" fontId="4" fillId="0" borderId="4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/>
    </xf>
    <xf numFmtId="0" fontId="3" fillId="0" borderId="0" xfId="1" applyFont="1" applyFill="1" applyBorder="1" applyAlignment="1"/>
    <xf numFmtId="0" fontId="31" fillId="0" borderId="0" xfId="1" applyFont="1" applyFill="1" applyBorder="1" applyAlignment="1">
      <alignment vertical="top"/>
    </xf>
    <xf numFmtId="0" fontId="3" fillId="0" borderId="0" xfId="1" applyFont="1" applyFill="1" applyBorder="1" applyAlignment="1">
      <alignment vertical="top"/>
    </xf>
    <xf numFmtId="49" fontId="3" fillId="0" borderId="0" xfId="1" applyNumberFormat="1" applyFont="1" applyFill="1" applyBorder="1" applyAlignment="1"/>
    <xf numFmtId="0" fontId="30" fillId="0" borderId="1" xfId="1" applyFont="1" applyFill="1" applyBorder="1" applyAlignment="1"/>
    <xf numFmtId="0" fontId="37" fillId="0" borderId="8" xfId="1" applyFont="1" applyFill="1" applyBorder="1" applyAlignment="1">
      <alignment vertical="top"/>
    </xf>
    <xf numFmtId="0" fontId="30" fillId="0" borderId="8" xfId="1" applyFont="1" applyFill="1" applyBorder="1" applyAlignment="1">
      <alignment vertical="top"/>
    </xf>
    <xf numFmtId="0" fontId="30" fillId="0" borderId="0" xfId="1" applyFont="1" applyFill="1" applyBorder="1" applyAlignment="1">
      <alignment horizontal="center" vertical="top"/>
    </xf>
    <xf numFmtId="0" fontId="30" fillId="0" borderId="0" xfId="1" applyFont="1" applyFill="1" applyAlignment="1">
      <alignment vertical="center" wrapText="1"/>
    </xf>
    <xf numFmtId="0" fontId="3" fillId="0" borderId="0" xfId="4" applyNumberFormat="1" applyFont="1" applyFill="1" applyBorder="1" applyAlignment="1" applyProtection="1">
      <alignment vertical="top"/>
    </xf>
    <xf numFmtId="0" fontId="3" fillId="0" borderId="0" xfId="4" applyNumberFormat="1" applyFont="1" applyFill="1" applyBorder="1" applyAlignment="1" applyProtection="1">
      <alignment vertical="top" wrapText="1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9" fillId="0" borderId="0" xfId="0" applyFont="1" applyFill="1"/>
    <xf numFmtId="0" fontId="37" fillId="0" borderId="0" xfId="33" applyFont="1" applyFill="1" applyAlignment="1">
      <alignment horizontal="left" vertical="top" wrapText="1"/>
    </xf>
    <xf numFmtId="0" fontId="30" fillId="0" borderId="0" xfId="33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center" wrapText="1"/>
    </xf>
    <xf numFmtId="0" fontId="40" fillId="0" borderId="0" xfId="33" applyFont="1" applyFill="1" applyAlignment="1">
      <alignment wrapText="1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2" fillId="8" borderId="3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4" fontId="12" fillId="8" borderId="3" xfId="0" applyNumberFormat="1" applyFont="1" applyFill="1" applyBorder="1"/>
    <xf numFmtId="4" fontId="0" fillId="8" borderId="3" xfId="2" applyNumberFormat="1" applyFont="1" applyFill="1" applyBorder="1" applyAlignment="1">
      <alignment horizontal="right"/>
    </xf>
    <xf numFmtId="3" fontId="12" fillId="8" borderId="3" xfId="0" applyNumberFormat="1" applyFont="1" applyFill="1" applyBorder="1"/>
    <xf numFmtId="4" fontId="0" fillId="8" borderId="0" xfId="0" applyNumberFormat="1" applyFill="1"/>
    <xf numFmtId="10" fontId="12" fillId="2" borderId="3" xfId="3" applyNumberFormat="1" applyFont="1" applyFill="1" applyBorder="1"/>
    <xf numFmtId="0" fontId="5" fillId="0" borderId="0" xfId="39" applyFont="1" applyFill="1" applyBorder="1" applyAlignment="1">
      <alignment horizontal="center" vertical="center" wrapText="1"/>
    </xf>
    <xf numFmtId="0" fontId="2" fillId="0" borderId="3" xfId="39" applyFont="1" applyFill="1" applyBorder="1" applyAlignment="1">
      <alignment horizontal="center" vertical="center" wrapText="1"/>
    </xf>
    <xf numFmtId="0" fontId="2" fillId="0" borderId="0" xfId="39" applyFont="1" applyFill="1" applyBorder="1" applyAlignment="1">
      <alignment horizontal="center" vertical="center" wrapText="1"/>
    </xf>
    <xf numFmtId="49" fontId="2" fillId="0" borderId="3" xfId="39" applyNumberFormat="1" applyFont="1" applyFill="1" applyBorder="1" applyAlignment="1">
      <alignment horizontal="center" vertical="center" wrapText="1"/>
    </xf>
    <xf numFmtId="0" fontId="2" fillId="0" borderId="9" xfId="39" applyFont="1" applyFill="1" applyBorder="1" applyAlignment="1">
      <alignment horizontal="center" vertical="center" wrapText="1"/>
    </xf>
    <xf numFmtId="0" fontId="2" fillId="0" borderId="0" xfId="39" applyFont="1" applyFill="1" applyBorder="1" applyAlignment="1">
      <alignment vertical="center" wrapText="1"/>
    </xf>
    <xf numFmtId="0" fontId="30" fillId="0" borderId="0" xfId="1" applyFont="1" applyFill="1" applyAlignment="1">
      <alignment horizontal="left" vertical="center" wrapText="1"/>
    </xf>
    <xf numFmtId="0" fontId="4" fillId="0" borderId="3" xfId="4" applyNumberFormat="1" applyFont="1" applyFill="1" applyBorder="1" applyAlignment="1" applyProtection="1">
      <alignment horizontal="center" vertical="center" wrapText="1"/>
    </xf>
    <xf numFmtId="0" fontId="4" fillId="0" borderId="0" xfId="4" applyNumberFormat="1" applyFont="1" applyFill="1" applyBorder="1" applyAlignment="1" applyProtection="1">
      <alignment horizontal="center" vertical="top"/>
    </xf>
    <xf numFmtId="0" fontId="4" fillId="0" borderId="3" xfId="4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Border="1" applyAlignment="1">
      <alignment horizontal="left"/>
    </xf>
    <xf numFmtId="0" fontId="4" fillId="0" borderId="10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3" fontId="4" fillId="0" borderId="10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4" fillId="0" borderId="9" xfId="1" applyNumberFormat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3" fontId="4" fillId="0" borderId="7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0" fillId="0" borderId="0" xfId="0" applyFill="1"/>
    <xf numFmtId="0" fontId="10" fillId="0" borderId="3" xfId="0" applyFont="1" applyFill="1" applyBorder="1" applyAlignment="1">
      <alignment horizontal="center"/>
    </xf>
    <xf numFmtId="2" fontId="0" fillId="0" borderId="0" xfId="0" applyNumberFormat="1" applyFill="1"/>
    <xf numFmtId="3" fontId="0" fillId="0" borderId="3" xfId="2" applyNumberFormat="1" applyFont="1" applyFill="1" applyBorder="1"/>
    <xf numFmtId="3" fontId="0" fillId="9" borderId="3" xfId="2" applyNumberFormat="1" applyFont="1" applyFill="1" applyBorder="1"/>
    <xf numFmtId="4" fontId="0" fillId="9" borderId="3" xfId="2" applyNumberFormat="1" applyFont="1" applyFill="1" applyBorder="1"/>
    <xf numFmtId="4" fontId="0" fillId="0" borderId="3" xfId="2" applyNumberFormat="1" applyFont="1" applyFill="1" applyBorder="1" applyAlignment="1">
      <alignment horizontal="right"/>
    </xf>
    <xf numFmtId="3" fontId="12" fillId="0" borderId="3" xfId="0" applyNumberFormat="1" applyFont="1" applyFill="1" applyBorder="1"/>
    <xf numFmtId="4" fontId="0" fillId="0" borderId="0" xfId="0" applyNumberFormat="1" applyFill="1"/>
    <xf numFmtId="0" fontId="0" fillId="2" borderId="0" xfId="0" applyFill="1"/>
    <xf numFmtId="2" fontId="0" fillId="2" borderId="0" xfId="0" applyNumberFormat="1" applyFill="1"/>
    <xf numFmtId="9" fontId="0" fillId="0" borderId="0" xfId="0" applyNumberFormat="1"/>
    <xf numFmtId="4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4" fontId="0" fillId="0" borderId="0" xfId="0" applyNumberFormat="1" applyFill="1" applyAlignment="1">
      <alignment horizontal="right"/>
    </xf>
    <xf numFmtId="4" fontId="0" fillId="7" borderId="0" xfId="0" applyNumberFormat="1" applyFill="1" applyAlignment="1">
      <alignment horizontal="right"/>
    </xf>
    <xf numFmtId="4" fontId="0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right"/>
    </xf>
    <xf numFmtId="4" fontId="0" fillId="9" borderId="0" xfId="0" applyNumberFormat="1" applyFill="1" applyAlignment="1">
      <alignment horizontal="right"/>
    </xf>
    <xf numFmtId="2" fontId="0" fillId="7" borderId="0" xfId="0" applyNumberFormat="1" applyFill="1"/>
    <xf numFmtId="4" fontId="9" fillId="7" borderId="3" xfId="2" applyNumberFormat="1" applyFont="1" applyFill="1" applyBorder="1"/>
    <xf numFmtId="4" fontId="0" fillId="7" borderId="0" xfId="0" applyNumberFormat="1" applyFill="1"/>
    <xf numFmtId="4" fontId="16" fillId="7" borderId="3" xfId="2" applyNumberFormat="1" applyFont="1" applyFill="1" applyBorder="1"/>
    <xf numFmtId="4" fontId="0" fillId="0" borderId="7" xfId="2" applyNumberFormat="1" applyFont="1" applyFill="1" applyBorder="1"/>
    <xf numFmtId="172" fontId="0" fillId="0" borderId="0" xfId="2" applyNumberFormat="1" applyFont="1"/>
    <xf numFmtId="172" fontId="0" fillId="0" borderId="0" xfId="2" applyNumberFormat="1" applyFont="1" applyAlignment="1">
      <alignment horizontal="right"/>
    </xf>
    <xf numFmtId="9" fontId="2" fillId="0" borderId="3" xfId="39" applyNumberFormat="1" applyFont="1" applyFill="1" applyBorder="1" applyAlignment="1">
      <alignment horizontal="center" vertical="center" wrapText="1"/>
    </xf>
    <xf numFmtId="4" fontId="12" fillId="7" borderId="3" xfId="0" applyNumberFormat="1" applyFont="1" applyFill="1" applyBorder="1"/>
    <xf numFmtId="3" fontId="4" fillId="0" borderId="0" xfId="4" applyNumberFormat="1" applyFont="1" applyFill="1" applyBorder="1" applyAlignment="1" applyProtection="1">
      <alignment vertical="top"/>
    </xf>
    <xf numFmtId="2" fontId="16" fillId="8" borderId="0" xfId="0" applyNumberFormat="1" applyFont="1" applyFill="1"/>
    <xf numFmtId="0" fontId="30" fillId="0" borderId="0" xfId="1" applyFont="1" applyFill="1" applyBorder="1" applyAlignment="1">
      <alignment horizontal="center"/>
    </xf>
    <xf numFmtId="167" fontId="0" fillId="0" borderId="0" xfId="0" applyNumberFormat="1"/>
    <xf numFmtId="3" fontId="6" fillId="0" borderId="0" xfId="1" applyNumberFormat="1" applyFont="1" applyFill="1"/>
    <xf numFmtId="173" fontId="6" fillId="0" borderId="0" xfId="3" applyNumberFormat="1" applyFont="1" applyFill="1"/>
    <xf numFmtId="3" fontId="12" fillId="7" borderId="3" xfId="0" applyNumberFormat="1" applyFont="1" applyFill="1" applyBorder="1"/>
    <xf numFmtId="4" fontId="41" fillId="0" borderId="0" xfId="0" applyNumberFormat="1" applyFont="1" applyFill="1" applyBorder="1" applyAlignment="1">
      <alignment horizontal="center" vertical="center"/>
    </xf>
    <xf numFmtId="4" fontId="43" fillId="0" borderId="0" xfId="45" applyNumberFormat="1" applyFont="1" applyFill="1" applyBorder="1" applyAlignment="1">
      <alignment horizontal="right" vertical="center" wrapText="1"/>
    </xf>
    <xf numFmtId="4" fontId="43" fillId="0" borderId="0" xfId="0" applyNumberFormat="1" applyFont="1" applyFill="1" applyBorder="1" applyAlignment="1">
      <alignment horizontal="center" vertical="center"/>
    </xf>
    <xf numFmtId="4" fontId="44" fillId="0" borderId="0" xfId="0" applyNumberFormat="1" applyFont="1" applyFill="1" applyBorder="1"/>
    <xf numFmtId="10" fontId="0" fillId="0" borderId="0" xfId="3" applyNumberFormat="1" applyFont="1"/>
    <xf numFmtId="172" fontId="4" fillId="0" borderId="0" xfId="4" applyNumberFormat="1" applyFont="1" applyFill="1" applyBorder="1" applyAlignment="1" applyProtection="1">
      <alignment vertical="top"/>
    </xf>
    <xf numFmtId="0" fontId="30" fillId="0" borderId="0" xfId="33" applyFont="1" applyFill="1" applyAlignment="1">
      <alignment wrapText="1"/>
    </xf>
    <xf numFmtId="4" fontId="12" fillId="10" borderId="3" xfId="0" applyNumberFormat="1" applyFont="1" applyFill="1" applyBorder="1"/>
    <xf numFmtId="174" fontId="0" fillId="0" borderId="0" xfId="0" applyNumberFormat="1"/>
    <xf numFmtId="170" fontId="0" fillId="0" borderId="0" xfId="0" applyNumberFormat="1"/>
    <xf numFmtId="4" fontId="10" fillId="0" borderId="0" xfId="0" applyNumberFormat="1" applyFont="1"/>
    <xf numFmtId="176" fontId="0" fillId="0" borderId="0" xfId="0" applyNumberFormat="1"/>
    <xf numFmtId="3" fontId="4" fillId="0" borderId="3" xfId="1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4" fontId="12" fillId="11" borderId="3" xfId="0" applyNumberFormat="1" applyFont="1" applyFill="1" applyBorder="1"/>
    <xf numFmtId="2" fontId="0" fillId="10" borderId="0" xfId="0" applyNumberFormat="1" applyFill="1"/>
    <xf numFmtId="0" fontId="0" fillId="10" borderId="0" xfId="0" applyFill="1"/>
    <xf numFmtId="0" fontId="10" fillId="10" borderId="3" xfId="0" applyFont="1" applyFill="1" applyBorder="1" applyAlignment="1">
      <alignment horizontal="center"/>
    </xf>
    <xf numFmtId="4" fontId="0" fillId="10" borderId="3" xfId="2" applyNumberFormat="1" applyFont="1" applyFill="1" applyBorder="1"/>
    <xf numFmtId="3" fontId="0" fillId="10" borderId="3" xfId="2" applyNumberFormat="1" applyFont="1" applyFill="1" applyBorder="1"/>
    <xf numFmtId="4" fontId="0" fillId="11" borderId="3" xfId="2" applyNumberFormat="1" applyFont="1" applyFill="1" applyBorder="1"/>
    <xf numFmtId="4" fontId="16" fillId="10" borderId="3" xfId="2" applyNumberFormat="1" applyFont="1" applyFill="1" applyBorder="1"/>
    <xf numFmtId="0" fontId="4" fillId="8" borderId="0" xfId="4" applyNumberFormat="1" applyFont="1" applyFill="1" applyBorder="1" applyAlignment="1" applyProtection="1">
      <alignment horizontal="center" vertical="center"/>
    </xf>
    <xf numFmtId="49" fontId="19" fillId="8" borderId="0" xfId="5" applyNumberFormat="1" applyFont="1" applyFill="1" applyBorder="1" applyAlignment="1" applyProtection="1">
      <alignment horizontal="left" vertical="center" wrapText="1"/>
    </xf>
    <xf numFmtId="3" fontId="4" fillId="8" borderId="3" xfId="4" applyNumberFormat="1" applyFont="1" applyFill="1" applyBorder="1" applyAlignment="1" applyProtection="1">
      <alignment horizontal="center" vertical="center"/>
    </xf>
    <xf numFmtId="9" fontId="4" fillId="8" borderId="0" xfId="3" applyFont="1" applyFill="1" applyBorder="1" applyAlignment="1" applyProtection="1">
      <alignment horizontal="center" vertical="center"/>
    </xf>
    <xf numFmtId="3" fontId="4" fillId="8" borderId="0" xfId="3" applyNumberFormat="1" applyFont="1" applyFill="1" applyBorder="1" applyAlignment="1" applyProtection="1">
      <alignment horizontal="center" vertical="center"/>
    </xf>
    <xf numFmtId="49" fontId="4" fillId="8" borderId="0" xfId="5" applyNumberFormat="1" applyFont="1" applyFill="1" applyBorder="1" applyAlignment="1" applyProtection="1">
      <alignment horizontal="left" vertical="center" wrapText="1"/>
    </xf>
    <xf numFmtId="0" fontId="4" fillId="8" borderId="0" xfId="4" applyNumberFormat="1" applyFont="1" applyFill="1" applyBorder="1" applyAlignment="1" applyProtection="1">
      <alignment horizontal="left" wrapText="1"/>
    </xf>
    <xf numFmtId="0" fontId="0" fillId="0" borderId="0" xfId="0" applyFill="1" applyBorder="1" applyAlignment="1">
      <alignment horizontal="right"/>
    </xf>
    <xf numFmtId="167" fontId="0" fillId="7" borderId="0" xfId="0" applyNumberFormat="1" applyFill="1"/>
    <xf numFmtId="3" fontId="4" fillId="7" borderId="3" xfId="0" applyNumberFormat="1" applyFont="1" applyFill="1" applyBorder="1" applyAlignment="1">
      <alignment horizontal="center" vertical="center"/>
    </xf>
    <xf numFmtId="0" fontId="5" fillId="0" borderId="0" xfId="39" applyFont="1" applyFill="1" applyBorder="1" applyAlignment="1">
      <alignment horizontal="center" vertical="center" wrapText="1"/>
    </xf>
    <xf numFmtId="0" fontId="2" fillId="0" borderId="3" xfId="39" applyFont="1" applyFill="1" applyBorder="1" applyAlignment="1">
      <alignment horizontal="center" vertical="center" wrapText="1"/>
    </xf>
    <xf numFmtId="0" fontId="2" fillId="0" borderId="0" xfId="39" applyFont="1" applyFill="1" applyBorder="1" applyAlignment="1">
      <alignment horizontal="center" vertical="center" wrapText="1"/>
    </xf>
    <xf numFmtId="49" fontId="2" fillId="0" borderId="3" xfId="39" applyNumberFormat="1" applyFont="1" applyFill="1" applyBorder="1" applyAlignment="1">
      <alignment horizontal="center" vertical="center" wrapText="1"/>
    </xf>
    <xf numFmtId="0" fontId="2" fillId="0" borderId="9" xfId="39" applyFont="1" applyFill="1" applyBorder="1" applyAlignment="1">
      <alignment horizontal="center" vertical="center" wrapText="1"/>
    </xf>
    <xf numFmtId="0" fontId="2" fillId="0" borderId="0" xfId="39" applyFont="1" applyFill="1" applyBorder="1" applyAlignment="1">
      <alignment vertical="center" wrapText="1"/>
    </xf>
    <xf numFmtId="0" fontId="2" fillId="0" borderId="0" xfId="39" applyFont="1" applyFill="1" applyAlignment="1">
      <alignment horizontal="center" vertical="center" wrapText="1"/>
    </xf>
    <xf numFmtId="0" fontId="2" fillId="0" borderId="0" xfId="39" applyFont="1" applyFill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0" fontId="2" fillId="0" borderId="0" xfId="39" applyFont="1" applyFill="1" applyBorder="1" applyAlignment="1">
      <alignment vertical="center" wrapText="1"/>
    </xf>
    <xf numFmtId="0" fontId="2" fillId="0" borderId="3" xfId="39" applyFont="1" applyFill="1" applyBorder="1" applyAlignment="1">
      <alignment vertical="center" wrapText="1"/>
    </xf>
    <xf numFmtId="0" fontId="2" fillId="0" borderId="0" xfId="39" applyFont="1" applyFill="1" applyBorder="1" applyAlignment="1">
      <alignment horizontal="center" vertical="center" wrapText="1"/>
    </xf>
    <xf numFmtId="49" fontId="2" fillId="0" borderId="3" xfId="39" applyNumberFormat="1" applyFont="1" applyFill="1" applyBorder="1" applyAlignment="1">
      <alignment horizontal="center" vertical="center" wrapText="1"/>
    </xf>
    <xf numFmtId="0" fontId="2" fillId="0" borderId="2" xfId="39" applyFont="1" applyFill="1" applyBorder="1" applyAlignment="1">
      <alignment horizontal="center" vertical="center" wrapText="1"/>
    </xf>
    <xf numFmtId="0" fontId="2" fillId="0" borderId="9" xfId="39" applyFont="1" applyFill="1" applyBorder="1" applyAlignment="1">
      <alignment horizontal="center" vertical="center" wrapText="1"/>
    </xf>
    <xf numFmtId="0" fontId="2" fillId="0" borderId="3" xfId="39" applyFont="1" applyFill="1" applyBorder="1" applyAlignment="1">
      <alignment horizontal="center" vertical="center" wrapText="1"/>
    </xf>
    <xf numFmtId="0" fontId="5" fillId="0" borderId="0" xfId="39" applyFont="1" applyFill="1" applyBorder="1" applyAlignment="1">
      <alignment horizontal="center" vertical="center" wrapText="1"/>
    </xf>
    <xf numFmtId="49" fontId="31" fillId="0" borderId="0" xfId="1" applyNumberFormat="1" applyFont="1" applyFill="1" applyAlignment="1">
      <alignment horizontal="center" vertical="center" wrapText="1"/>
    </xf>
    <xf numFmtId="0" fontId="2" fillId="0" borderId="4" xfId="39" applyFont="1" applyFill="1" applyBorder="1" applyAlignment="1">
      <alignment horizontal="center" vertical="center" wrapText="1"/>
    </xf>
    <xf numFmtId="0" fontId="2" fillId="0" borderId="6" xfId="39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left" vertical="center" wrapText="1"/>
    </xf>
    <xf numFmtId="0" fontId="4" fillId="0" borderId="0" xfId="4" applyNumberFormat="1" applyFont="1" applyFill="1" applyBorder="1" applyAlignment="1" applyProtection="1">
      <alignment horizontal="left" vertical="top" wrapText="1"/>
    </xf>
    <xf numFmtId="0" fontId="4" fillId="0" borderId="9" xfId="4" applyNumberFormat="1" applyFont="1" applyFill="1" applyBorder="1" applyAlignment="1" applyProtection="1">
      <alignment horizontal="center" vertical="center"/>
    </xf>
    <xf numFmtId="0" fontId="4" fillId="0" borderId="15" xfId="4" applyNumberFormat="1" applyFont="1" applyFill="1" applyBorder="1" applyAlignment="1" applyProtection="1">
      <alignment horizontal="center" vertical="center"/>
    </xf>
    <xf numFmtId="49" fontId="4" fillId="0" borderId="3" xfId="4" applyNumberFormat="1" applyFont="1" applyFill="1" applyBorder="1" applyAlignment="1" applyProtection="1">
      <alignment horizontal="center" vertical="center" wrapText="1"/>
    </xf>
    <xf numFmtId="49" fontId="4" fillId="0" borderId="4" xfId="5" applyNumberFormat="1" applyFont="1" applyFill="1" applyBorder="1" applyAlignment="1" applyProtection="1">
      <alignment horizontal="left" vertical="center" wrapText="1"/>
    </xf>
    <xf numFmtId="49" fontId="4" fillId="0" borderId="6" xfId="5" applyNumberFormat="1" applyFont="1" applyFill="1" applyBorder="1" applyAlignment="1" applyProtection="1">
      <alignment horizontal="left" vertical="center" wrapText="1"/>
    </xf>
    <xf numFmtId="49" fontId="4" fillId="0" borderId="10" xfId="4" applyNumberFormat="1" applyFont="1" applyFill="1" applyBorder="1" applyAlignment="1" applyProtection="1">
      <alignment horizontal="center" vertical="center" wrapText="1"/>
    </xf>
    <xf numFmtId="49" fontId="4" fillId="0" borderId="11" xfId="4" applyNumberFormat="1" applyFont="1" applyFill="1" applyBorder="1" applyAlignment="1" applyProtection="1">
      <alignment horizontal="center" vertical="center" wrapText="1"/>
    </xf>
    <xf numFmtId="49" fontId="4" fillId="0" borderId="12" xfId="4" applyNumberFormat="1" applyFont="1" applyFill="1" applyBorder="1" applyAlignment="1" applyProtection="1">
      <alignment horizontal="center" vertical="center" wrapText="1"/>
    </xf>
    <xf numFmtId="0" fontId="4" fillId="0" borderId="3" xfId="4" applyNumberFormat="1" applyFont="1" applyFill="1" applyBorder="1" applyAlignment="1" applyProtection="1">
      <alignment horizontal="center" vertical="center" wrapText="1"/>
    </xf>
    <xf numFmtId="0" fontId="17" fillId="0" borderId="0" xfId="4" applyNumberFormat="1" applyFont="1" applyFill="1" applyBorder="1" applyAlignment="1" applyProtection="1">
      <alignment horizontal="center" vertical="center"/>
    </xf>
    <xf numFmtId="0" fontId="2" fillId="0" borderId="0" xfId="4" applyNumberFormat="1" applyFont="1" applyFill="1" applyBorder="1" applyAlignment="1" applyProtection="1">
      <alignment horizontal="center" vertical="top"/>
    </xf>
    <xf numFmtId="0" fontId="4" fillId="0" borderId="10" xfId="4" applyNumberFormat="1" applyFont="1" applyFill="1" applyBorder="1" applyAlignment="1" applyProtection="1">
      <alignment horizontal="center" vertical="center" wrapText="1"/>
    </xf>
    <xf numFmtId="0" fontId="4" fillId="0" borderId="11" xfId="4" applyNumberFormat="1" applyFont="1" applyFill="1" applyBorder="1" applyAlignment="1" applyProtection="1">
      <alignment horizontal="center" vertical="center" wrapText="1"/>
    </xf>
    <xf numFmtId="0" fontId="4" fillId="0" borderId="12" xfId="4" applyNumberFormat="1" applyFont="1" applyFill="1" applyBorder="1" applyAlignment="1" applyProtection="1">
      <alignment horizontal="center" vertical="center" wrapText="1"/>
    </xf>
    <xf numFmtId="0" fontId="4" fillId="0" borderId="10" xfId="4" applyNumberFormat="1" applyFont="1" applyFill="1" applyBorder="1" applyAlignment="1" applyProtection="1">
      <alignment horizontal="center" vertical="center"/>
    </xf>
    <xf numFmtId="0" fontId="4" fillId="0" borderId="11" xfId="4" applyNumberFormat="1" applyFont="1" applyFill="1" applyBorder="1" applyAlignment="1" applyProtection="1">
      <alignment horizontal="center" vertical="center"/>
    </xf>
    <xf numFmtId="0" fontId="4" fillId="0" borderId="12" xfId="4" applyNumberFormat="1" applyFont="1" applyFill="1" applyBorder="1" applyAlignment="1" applyProtection="1">
      <alignment horizontal="center" vertical="center"/>
    </xf>
    <xf numFmtId="0" fontId="4" fillId="0" borderId="4" xfId="4" applyNumberFormat="1" applyFont="1" applyFill="1" applyBorder="1" applyAlignment="1" applyProtection="1">
      <alignment horizontal="center" vertical="center" wrapText="1"/>
    </xf>
    <xf numFmtId="0" fontId="4" fillId="0" borderId="5" xfId="4" applyNumberFormat="1" applyFont="1" applyFill="1" applyBorder="1" applyAlignment="1" applyProtection="1">
      <alignment horizontal="center" vertical="center" wrapText="1"/>
    </xf>
    <xf numFmtId="0" fontId="4" fillId="0" borderId="6" xfId="4" applyNumberFormat="1" applyFont="1" applyFill="1" applyBorder="1" applyAlignment="1" applyProtection="1">
      <alignment horizontal="center" vertical="center" wrapText="1"/>
    </xf>
    <xf numFmtId="49" fontId="4" fillId="0" borderId="0" xfId="1" applyNumberFormat="1" applyFont="1" applyFill="1" applyBorder="1" applyAlignment="1">
      <alignment horizontal="left"/>
    </xf>
    <xf numFmtId="0" fontId="4" fillId="0" borderId="3" xfId="4" applyNumberFormat="1" applyFont="1" applyFill="1" applyBorder="1" applyAlignment="1" applyProtection="1">
      <alignment horizontal="center" vertical="center"/>
    </xf>
    <xf numFmtId="0" fontId="3" fillId="0" borderId="0" xfId="4" applyNumberFormat="1" applyFont="1" applyFill="1" applyBorder="1" applyAlignment="1" applyProtection="1">
      <alignment horizontal="center" vertical="top"/>
    </xf>
    <xf numFmtId="0" fontId="38" fillId="0" borderId="0" xfId="4" applyNumberFormat="1" applyFont="1" applyFill="1" applyBorder="1" applyAlignment="1" applyProtection="1">
      <alignment horizontal="center" vertical="center"/>
    </xf>
    <xf numFmtId="0" fontId="30" fillId="0" borderId="0" xfId="4" applyNumberFormat="1" applyFont="1" applyFill="1" applyBorder="1" applyAlignment="1" applyProtection="1">
      <alignment horizontal="center" vertical="top"/>
    </xf>
    <xf numFmtId="0" fontId="4" fillId="0" borderId="4" xfId="4" applyNumberFormat="1" applyFont="1" applyFill="1" applyBorder="1" applyAlignment="1" applyProtection="1">
      <alignment horizontal="center" vertical="center"/>
    </xf>
    <xf numFmtId="0" fontId="4" fillId="0" borderId="5" xfId="4" applyNumberFormat="1" applyFont="1" applyFill="1" applyBorder="1" applyAlignment="1" applyProtection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30" fillId="0" borderId="0" xfId="33" applyFont="1" applyFill="1" applyAlignment="1">
      <alignment horizontal="left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4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30" fillId="0" borderId="0" xfId="33" applyFont="1" applyFill="1" applyAlignment="1">
      <alignment horizontal="left" vertical="top" wrapText="1"/>
    </xf>
    <xf numFmtId="0" fontId="30" fillId="0" borderId="0" xfId="33" applyFont="1" applyFill="1" applyAlignment="1">
      <alignment horizontal="left" vertical="center" wrapText="1"/>
    </xf>
    <xf numFmtId="0" fontId="37" fillId="0" borderId="0" xfId="33" applyFont="1" applyFill="1" applyAlignment="1">
      <alignment horizontal="left" wrapTex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4" fillId="0" borderId="11" xfId="1" applyFont="1" applyFill="1" applyBorder="1" applyAlignment="1">
      <alignment horizontal="center" vertical="center"/>
    </xf>
    <xf numFmtId="3" fontId="4" fillId="0" borderId="7" xfId="1" applyNumberFormat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top"/>
    </xf>
    <xf numFmtId="49" fontId="4" fillId="0" borderId="9" xfId="1" applyNumberFormat="1" applyFont="1" applyFill="1" applyBorder="1" applyAlignment="1">
      <alignment horizontal="center" vertical="top"/>
    </xf>
    <xf numFmtId="0" fontId="4" fillId="0" borderId="2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9" fontId="4" fillId="0" borderId="7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9" fontId="4" fillId="0" borderId="2" xfId="1" applyNumberFormat="1" applyFont="1" applyFill="1" applyBorder="1" applyAlignment="1">
      <alignment horizontal="center" vertical="center"/>
    </xf>
    <xf numFmtId="9" fontId="4" fillId="0" borderId="9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top"/>
    </xf>
    <xf numFmtId="3" fontId="4" fillId="0" borderId="11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4" fillId="0" borderId="9" xfId="1" applyNumberFormat="1" applyFont="1" applyFill="1" applyBorder="1" applyAlignment="1">
      <alignment horizontal="center" vertical="center"/>
    </xf>
    <xf numFmtId="3" fontId="4" fillId="0" borderId="10" xfId="2" applyNumberFormat="1" applyFont="1" applyFill="1" applyBorder="1" applyAlignment="1">
      <alignment horizontal="center" vertical="center"/>
    </xf>
    <xf numFmtId="3" fontId="4" fillId="0" borderId="12" xfId="2" applyNumberFormat="1" applyFont="1" applyFill="1" applyBorder="1" applyAlignment="1">
      <alignment horizontal="center" vertical="center"/>
    </xf>
    <xf numFmtId="3" fontId="4" fillId="0" borderId="10" xfId="1" applyNumberFormat="1" applyFont="1" applyFill="1" applyBorder="1" applyAlignment="1">
      <alignment horizontal="center" vertical="center"/>
    </xf>
    <xf numFmtId="3" fontId="4" fillId="0" borderId="12" xfId="1" applyNumberFormat="1" applyFont="1" applyFill="1" applyBorder="1" applyAlignment="1">
      <alignment horizontal="center" vertical="center"/>
    </xf>
    <xf numFmtId="3" fontId="4" fillId="0" borderId="11" xfId="2" applyNumberFormat="1" applyFont="1" applyFill="1" applyBorder="1" applyAlignment="1">
      <alignment horizontal="center" vertical="center"/>
    </xf>
    <xf numFmtId="175" fontId="4" fillId="0" borderId="2" xfId="1" applyNumberFormat="1" applyFont="1" applyFill="1" applyBorder="1" applyAlignment="1">
      <alignment horizontal="center" vertical="center"/>
    </xf>
    <xf numFmtId="175" fontId="4" fillId="0" borderId="7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/>
    </xf>
    <xf numFmtId="4" fontId="4" fillId="0" borderId="7" xfId="1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/>
    </xf>
    <xf numFmtId="0" fontId="38" fillId="0" borderId="0" xfId="1" applyFont="1" applyFill="1" applyAlignment="1">
      <alignment horizontal="center" vertical="center"/>
    </xf>
    <xf numFmtId="0" fontId="30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textRotation="90"/>
    </xf>
    <xf numFmtId="0" fontId="4" fillId="0" borderId="7" xfId="1" applyFont="1" applyFill="1" applyBorder="1" applyAlignment="1">
      <alignment horizontal="center" vertical="center" textRotation="90"/>
    </xf>
    <xf numFmtId="0" fontId="4" fillId="0" borderId="2" xfId="1" applyFont="1" applyFill="1" applyBorder="1" applyAlignment="1">
      <alignment horizontal="center" vertical="center" textRotation="90" wrapText="1"/>
    </xf>
    <xf numFmtId="0" fontId="4" fillId="0" borderId="7" xfId="1" applyFont="1" applyFill="1" applyBorder="1" applyAlignment="1">
      <alignment horizontal="center" vertical="center" textRotation="90" wrapText="1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top" wrapText="1"/>
    </xf>
    <xf numFmtId="0" fontId="4" fillId="0" borderId="8" xfId="1" applyFont="1" applyFill="1" applyBorder="1" applyAlignment="1">
      <alignment horizontal="center" vertical="top" wrapText="1"/>
    </xf>
  </cellXfs>
  <cellStyles count="46">
    <cellStyle name="_CPI foodimp" xfId="6"/>
    <cellStyle name="_macro 2012 var 1" xfId="7"/>
    <cellStyle name="_v-2013-2030- 2b17.01.11Нах-cpiнов. курс inn 1-2-Е1xls" xfId="8"/>
    <cellStyle name="_Модель - 2(23)" xfId="9"/>
    <cellStyle name="_Сб-macro 2020" xfId="10"/>
    <cellStyle name="Euro" xfId="11"/>
    <cellStyle name="Normal_macro 2012 var 1" xfId="12"/>
    <cellStyle name="styleColumnTitles" xfId="13"/>
    <cellStyle name="styleDateRange" xfId="14"/>
    <cellStyle name="styleHidden" xfId="15"/>
    <cellStyle name="styleNormal" xfId="16"/>
    <cellStyle name="styleSeriesAttributes" xfId="17"/>
    <cellStyle name="styleSeriesData" xfId="18"/>
    <cellStyle name="styleSeriesDataForecast" xfId="19"/>
    <cellStyle name="styleSeriesDataForecastNA" xfId="20"/>
    <cellStyle name="styleSeriesDataNA" xfId="21"/>
    <cellStyle name="Обычный" xfId="0" builtinId="0"/>
    <cellStyle name="Обычный 10" xfId="22"/>
    <cellStyle name="Обычный 2" xfId="1"/>
    <cellStyle name="Обычный 2 2" xfId="23"/>
    <cellStyle name="Обычный 2 2 2" xfId="24"/>
    <cellStyle name="Обычный 2 2 3" xfId="25"/>
    <cellStyle name="Обычный 2 3" xfId="26"/>
    <cellStyle name="Обычный 2 4" xfId="27"/>
    <cellStyle name="Обычный 2 5" xfId="28"/>
    <cellStyle name="Обычный 2 5 2" xfId="29"/>
    <cellStyle name="Обычный 2 6" xfId="30"/>
    <cellStyle name="Обычный 2_ТЭП-ВНИИЭФ-12-13 -апрель 2013" xfId="31"/>
    <cellStyle name="Обычный 27" xfId="32"/>
    <cellStyle name="Обычный 3" xfId="33"/>
    <cellStyle name="Обычный 4" xfId="34"/>
    <cellStyle name="Обычный 5" xfId="35"/>
    <cellStyle name="Обычный 5 2" xfId="36"/>
    <cellStyle name="Обычный 5 2 2" xfId="37"/>
    <cellStyle name="Обычный 5 3" xfId="38"/>
    <cellStyle name="Обычный 6" xfId="39"/>
    <cellStyle name="Обычный 6 2" xfId="40"/>
    <cellStyle name="Обычный 7" xfId="41"/>
    <cellStyle name="Обычный 8" xfId="42"/>
    <cellStyle name="Обычный 9" xfId="43"/>
    <cellStyle name="Обычный_Лист3" xfId="45"/>
    <cellStyle name="Обычный_Прил   9д" xfId="5"/>
    <cellStyle name="Обычный_Приложение 8" xfId="4"/>
    <cellStyle name="Процентный" xfId="3" builtinId="5"/>
    <cellStyle name="Стиль 1" xfId="44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YTECH\&#1053;&#1048;&#1056;\&#1056;&#1077;&#1072;&#1083;&#1080;&#1103;\&#1056;&#1050;&#1052;%20&#1092;&#1080;&#1085;%20&#1087;&#1086;&#1082;&#1072;&#1079;&#1072;&#1090;&#1077;&#1083;&#1080;%202017-2020%2020180727%20&#1089;%20&#1092;&#1086;&#1088;&#1084;&#1091;&#1083;&#1072;&#1084;&#1080;%20-%2011%2012%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 (10д) ДЗП (18-19)"/>
      <sheetName val="10 (10д) ДЗП (19-20)"/>
      <sheetName val="11дОПР"/>
      <sheetName val="12дОХР"/>
      <sheetName val="21д свед. об V поставки"/>
      <sheetName val="22.1 (22.1д) прот норм (2018)"/>
      <sheetName val="22.1 (22.1д) прот норм (2019)"/>
      <sheetName val="22.1 (22.1д) прот норм (19 new)"/>
      <sheetName val="22.1 (22.1д) прот норм (2020)"/>
      <sheetName val="22.2д труд"/>
      <sheetName val="Бизнес-план на 2018"/>
      <sheetName val="Бизнес-план на 2019"/>
      <sheetName val="Бизнес-план на 2019 на 250718"/>
      <sheetName val="Бизнес-план на 2020"/>
      <sheetName val="Факт 2017"/>
    </sheetNames>
    <sheetDataSet>
      <sheetData sheetId="0"/>
      <sheetData sheetId="1"/>
      <sheetData sheetId="2"/>
      <sheetData sheetId="3">
        <row r="16">
          <cell r="Q16">
            <v>28350192</v>
          </cell>
          <cell r="R16">
            <v>26357327</v>
          </cell>
        </row>
        <row r="17">
          <cell r="H17">
            <v>10832166</v>
          </cell>
          <cell r="I17">
            <v>7712560</v>
          </cell>
          <cell r="Q17">
            <v>31326829</v>
          </cell>
          <cell r="R17">
            <v>29291740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1">
          <cell r="I1">
            <v>425.23</v>
          </cell>
        </row>
        <row r="6">
          <cell r="D6">
            <v>2171558.4</v>
          </cell>
          <cell r="G6">
            <v>2081257</v>
          </cell>
          <cell r="H6">
            <v>2551950</v>
          </cell>
        </row>
        <row r="7">
          <cell r="C7">
            <v>7208000</v>
          </cell>
          <cell r="N7">
            <v>10123519.58</v>
          </cell>
        </row>
        <row r="8">
          <cell r="C8">
            <v>504560</v>
          </cell>
          <cell r="N8">
            <v>708646.38</v>
          </cell>
        </row>
        <row r="11">
          <cell r="C11">
            <v>6941304</v>
          </cell>
          <cell r="N11">
            <v>9902405</v>
          </cell>
        </row>
        <row r="12">
          <cell r="C12">
            <v>1156884</v>
          </cell>
          <cell r="N12">
            <v>1625061</v>
          </cell>
        </row>
        <row r="20">
          <cell r="C20">
            <v>5900000</v>
          </cell>
          <cell r="N20">
            <v>58635254.25</v>
          </cell>
        </row>
        <row r="24">
          <cell r="C24">
            <v>85</v>
          </cell>
          <cell r="N24">
            <v>116</v>
          </cell>
        </row>
        <row r="25">
          <cell r="D25">
            <v>3840</v>
          </cell>
          <cell r="G25">
            <v>3670</v>
          </cell>
          <cell r="H25">
            <v>4500</v>
          </cell>
        </row>
        <row r="27">
          <cell r="C27">
            <v>3029323.97</v>
          </cell>
          <cell r="N27">
            <v>45936447.009999998</v>
          </cell>
        </row>
      </sheetData>
      <sheetData sheetId="11">
        <row r="1">
          <cell r="F1">
            <v>557.98</v>
          </cell>
        </row>
        <row r="6">
          <cell r="C6">
            <v>29291740.239999998</v>
          </cell>
          <cell r="F6">
            <v>2274733.37</v>
          </cell>
          <cell r="G6">
            <v>1492607.2</v>
          </cell>
          <cell r="H6">
            <v>5015124.24</v>
          </cell>
          <cell r="N6">
            <v>31326828.879999999</v>
          </cell>
        </row>
        <row r="7">
          <cell r="C7">
            <v>27375458.239999998</v>
          </cell>
          <cell r="N7">
            <v>29277410.239999998</v>
          </cell>
        </row>
        <row r="8">
          <cell r="C8">
            <v>1916282</v>
          </cell>
          <cell r="N8">
            <v>2049418.64</v>
          </cell>
        </row>
        <row r="11">
          <cell r="C11">
            <v>22540572.670000002</v>
          </cell>
          <cell r="N11">
            <v>24268813</v>
          </cell>
        </row>
        <row r="12">
          <cell r="C12">
            <v>4431813.76</v>
          </cell>
          <cell r="N12">
            <v>4740328</v>
          </cell>
        </row>
        <row r="20">
          <cell r="C20">
            <v>39100000</v>
          </cell>
          <cell r="N20">
            <v>78083050.859999999</v>
          </cell>
        </row>
        <row r="24">
          <cell r="C24">
            <v>306.5</v>
          </cell>
          <cell r="N24">
            <v>322.5</v>
          </cell>
        </row>
        <row r="25">
          <cell r="F25">
            <v>3810</v>
          </cell>
          <cell r="G25">
            <v>2500</v>
          </cell>
          <cell r="H25">
            <v>8400</v>
          </cell>
        </row>
        <row r="27">
          <cell r="C27">
            <v>20674733.41</v>
          </cell>
          <cell r="N27">
            <v>50774542.270000003</v>
          </cell>
        </row>
      </sheetData>
      <sheetData sheetId="12">
        <row r="1">
          <cell r="D1">
            <v>558.36</v>
          </cell>
        </row>
      </sheetData>
      <sheetData sheetId="13">
        <row r="1">
          <cell r="D1">
            <v>589.4</v>
          </cell>
        </row>
      </sheetData>
      <sheetData sheetId="14">
        <row r="1">
          <cell r="B1">
            <v>412.48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workbookViewId="0">
      <selection activeCell="F6" sqref="F6"/>
    </sheetView>
  </sheetViews>
  <sheetFormatPr defaultColWidth="9.109375" defaultRowHeight="18" x14ac:dyDescent="0.3"/>
  <cols>
    <col min="1" max="1" width="8.33203125" style="100" customWidth="1"/>
    <col min="2" max="2" width="85.6640625" style="80" customWidth="1"/>
    <col min="3" max="3" width="29" style="80" customWidth="1"/>
    <col min="4" max="4" width="25.88671875" style="80" customWidth="1"/>
    <col min="5" max="5" width="24.109375" style="80" customWidth="1"/>
    <col min="6" max="6" width="28.109375" style="80" customWidth="1"/>
    <col min="7" max="7" width="20.44140625" style="80" customWidth="1"/>
    <col min="8" max="8" width="9.109375" style="80"/>
    <col min="9" max="9" width="89.44140625" style="80" customWidth="1"/>
    <col min="10" max="16384" width="9.109375" style="80"/>
  </cols>
  <sheetData>
    <row r="1" spans="1:7" ht="17.25" customHeight="1" x14ac:dyDescent="0.3">
      <c r="A1" s="77"/>
      <c r="B1" s="78"/>
      <c r="C1" s="78"/>
      <c r="D1" s="78"/>
      <c r="E1" s="78"/>
      <c r="F1" s="79" t="s">
        <v>159</v>
      </c>
      <c r="G1" s="78"/>
    </row>
    <row r="2" spans="1:7" ht="11.25" customHeight="1" x14ac:dyDescent="0.25">
      <c r="A2" s="77"/>
      <c r="B2" s="78"/>
      <c r="C2" s="78"/>
      <c r="D2" s="78"/>
      <c r="E2" s="78"/>
      <c r="F2" s="78"/>
      <c r="G2" s="78"/>
    </row>
    <row r="3" spans="1:7" ht="21" customHeight="1" x14ac:dyDescent="0.3">
      <c r="A3" s="409" t="s">
        <v>385</v>
      </c>
      <c r="B3" s="409"/>
      <c r="C3" s="409"/>
      <c r="D3" s="409"/>
      <c r="E3" s="409"/>
      <c r="F3" s="409"/>
      <c r="G3" s="78"/>
    </row>
    <row r="4" spans="1:7" s="82" customFormat="1" ht="29.25" customHeight="1" x14ac:dyDescent="0.3">
      <c r="A4" s="410" t="s">
        <v>116</v>
      </c>
      <c r="B4" s="410"/>
      <c r="C4" s="410"/>
      <c r="D4" s="410"/>
      <c r="E4" s="410"/>
      <c r="F4" s="410"/>
      <c r="G4" s="81"/>
    </row>
    <row r="5" spans="1:7" ht="16.5" customHeight="1" x14ac:dyDescent="0.3">
      <c r="A5" s="83"/>
      <c r="B5" s="393"/>
      <c r="C5" s="393"/>
      <c r="D5" s="393"/>
      <c r="E5" s="393"/>
      <c r="F5" s="84" t="s">
        <v>145</v>
      </c>
      <c r="G5" s="78"/>
    </row>
    <row r="6" spans="1:7" ht="39" customHeight="1" x14ac:dyDescent="0.3">
      <c r="A6" s="408" t="s">
        <v>3</v>
      </c>
      <c r="B6" s="408"/>
      <c r="C6" s="394" t="s">
        <v>247</v>
      </c>
      <c r="D6" s="408" t="s">
        <v>333</v>
      </c>
      <c r="E6" s="408"/>
      <c r="F6" s="394" t="s">
        <v>249</v>
      </c>
      <c r="G6" s="78"/>
    </row>
    <row r="7" spans="1:7" ht="18" customHeight="1" x14ac:dyDescent="0.3">
      <c r="A7" s="408"/>
      <c r="B7" s="408"/>
      <c r="C7" s="85" t="s">
        <v>160</v>
      </c>
      <c r="D7" s="85" t="s">
        <v>9</v>
      </c>
      <c r="E7" s="394" t="s">
        <v>161</v>
      </c>
      <c r="F7" s="394" t="s">
        <v>9</v>
      </c>
      <c r="G7" s="78"/>
    </row>
    <row r="8" spans="1:7" ht="15" customHeight="1" x14ac:dyDescent="0.25">
      <c r="A8" s="411">
        <v>1</v>
      </c>
      <c r="B8" s="412"/>
      <c r="C8" s="85">
        <v>2</v>
      </c>
      <c r="D8" s="85">
        <v>3</v>
      </c>
      <c r="E8" s="394">
        <v>4</v>
      </c>
      <c r="F8" s="394">
        <v>5</v>
      </c>
      <c r="G8" s="78"/>
    </row>
    <row r="9" spans="1:7" ht="23.25" customHeight="1" x14ac:dyDescent="0.3">
      <c r="A9" s="403" t="s">
        <v>162</v>
      </c>
      <c r="B9" s="403"/>
      <c r="C9" s="157">
        <v>0</v>
      </c>
      <c r="D9" s="85">
        <f>'Бизнес-план 18 190117'!C7</f>
        <v>6550547</v>
      </c>
      <c r="E9" s="154" t="s">
        <v>118</v>
      </c>
      <c r="F9" s="85">
        <f>'Бизнес-план 19 190117'!D7</f>
        <v>18674350</v>
      </c>
      <c r="G9" s="78"/>
    </row>
    <row r="10" spans="1:7" ht="23.25" customHeight="1" x14ac:dyDescent="0.3">
      <c r="A10" s="403" t="s">
        <v>163</v>
      </c>
      <c r="B10" s="403"/>
      <c r="C10" s="157">
        <v>0</v>
      </c>
      <c r="D10" s="85">
        <f>'Бизнес-план 18 190117'!C8</f>
        <v>430271</v>
      </c>
      <c r="E10" s="86" t="s">
        <v>118</v>
      </c>
      <c r="F10" s="85">
        <f>'Бизнес-план 19 190117'!D8</f>
        <v>1307205</v>
      </c>
      <c r="G10" s="78"/>
    </row>
    <row r="11" spans="1:7" ht="23.25" customHeight="1" x14ac:dyDescent="0.3">
      <c r="A11" s="403" t="s">
        <v>164</v>
      </c>
      <c r="B11" s="403"/>
      <c r="C11" s="394" t="s">
        <v>118</v>
      </c>
      <c r="D11" s="350">
        <f>D10/D9</f>
        <v>7.0000000000000007E-2</v>
      </c>
      <c r="E11" s="394" t="s">
        <v>118</v>
      </c>
      <c r="F11" s="350">
        <f>F10/F9</f>
        <v>7.0000000000000007E-2</v>
      </c>
      <c r="G11" s="78"/>
    </row>
    <row r="12" spans="1:7" ht="12.75" customHeight="1" x14ac:dyDescent="0.25">
      <c r="A12" s="398"/>
      <c r="B12" s="398"/>
      <c r="C12" s="398"/>
      <c r="D12" s="398"/>
      <c r="E12" s="398"/>
      <c r="F12" s="398"/>
      <c r="G12" s="78"/>
    </row>
    <row r="13" spans="1:7" ht="15" customHeight="1" x14ac:dyDescent="0.3">
      <c r="A13" s="404" t="s">
        <v>165</v>
      </c>
      <c r="B13" s="404"/>
      <c r="C13" s="404"/>
      <c r="D13" s="404"/>
      <c r="E13" s="404"/>
      <c r="F13" s="404"/>
      <c r="G13" s="78"/>
    </row>
    <row r="14" spans="1:7" ht="17.25" customHeight="1" x14ac:dyDescent="0.3">
      <c r="A14" s="87"/>
      <c r="B14" s="88"/>
      <c r="C14" s="88"/>
      <c r="D14" s="88"/>
      <c r="E14" s="88"/>
      <c r="F14" s="89" t="s">
        <v>145</v>
      </c>
      <c r="G14" s="78"/>
    </row>
    <row r="15" spans="1:7" ht="41.25" customHeight="1" x14ac:dyDescent="0.3">
      <c r="A15" s="405" t="s">
        <v>166</v>
      </c>
      <c r="B15" s="406" t="s">
        <v>167</v>
      </c>
      <c r="C15" s="394" t="s">
        <v>250</v>
      </c>
      <c r="D15" s="408" t="s">
        <v>248</v>
      </c>
      <c r="E15" s="408"/>
      <c r="F15" s="394" t="s">
        <v>249</v>
      </c>
      <c r="G15" s="78"/>
    </row>
    <row r="16" spans="1:7" ht="17.25" customHeight="1" x14ac:dyDescent="0.3">
      <c r="A16" s="405"/>
      <c r="B16" s="407"/>
      <c r="C16" s="90" t="s">
        <v>160</v>
      </c>
      <c r="D16" s="90" t="s">
        <v>9</v>
      </c>
      <c r="E16" s="91" t="s">
        <v>161</v>
      </c>
      <c r="F16" s="91" t="s">
        <v>9</v>
      </c>
      <c r="G16" s="78"/>
    </row>
    <row r="17" spans="1:7" ht="16.5" customHeight="1" x14ac:dyDescent="0.25">
      <c r="A17" s="396" t="s">
        <v>168</v>
      </c>
      <c r="B17" s="397">
        <v>2</v>
      </c>
      <c r="C17" s="90">
        <v>3</v>
      </c>
      <c r="D17" s="90">
        <v>4</v>
      </c>
      <c r="E17" s="91">
        <v>5</v>
      </c>
      <c r="F17" s="91">
        <v>6</v>
      </c>
      <c r="G17" s="78"/>
    </row>
    <row r="18" spans="1:7" ht="41.4" x14ac:dyDescent="0.3">
      <c r="A18" s="396">
        <v>1</v>
      </c>
      <c r="B18" s="92" t="s">
        <v>169</v>
      </c>
      <c r="C18" s="394">
        <v>0</v>
      </c>
      <c r="D18" s="85">
        <f>D10</f>
        <v>430271</v>
      </c>
      <c r="E18" s="85" t="s">
        <v>118</v>
      </c>
      <c r="F18" s="85">
        <f>F10</f>
        <v>1307205</v>
      </c>
      <c r="G18" s="78"/>
    </row>
    <row r="19" spans="1:7" ht="33" customHeight="1" x14ac:dyDescent="0.3">
      <c r="A19" s="396">
        <v>2</v>
      </c>
      <c r="B19" s="92" t="s">
        <v>170</v>
      </c>
      <c r="C19" s="394">
        <v>0</v>
      </c>
      <c r="D19" s="394">
        <v>0</v>
      </c>
      <c r="E19" s="394" t="s">
        <v>118</v>
      </c>
      <c r="F19" s="394">
        <v>0</v>
      </c>
      <c r="G19" s="78"/>
    </row>
    <row r="20" spans="1:7" ht="46.5" customHeight="1" x14ac:dyDescent="0.3">
      <c r="A20" s="396">
        <v>3</v>
      </c>
      <c r="B20" s="92" t="s">
        <v>171</v>
      </c>
      <c r="C20" s="394">
        <v>0</v>
      </c>
      <c r="D20" s="394">
        <v>0</v>
      </c>
      <c r="E20" s="394" t="s">
        <v>118</v>
      </c>
      <c r="F20" s="394">
        <v>0</v>
      </c>
      <c r="G20" s="78"/>
    </row>
    <row r="21" spans="1:7" ht="30.75" customHeight="1" x14ac:dyDescent="0.3">
      <c r="A21" s="396">
        <v>4</v>
      </c>
      <c r="B21" s="92" t="s">
        <v>172</v>
      </c>
      <c r="C21" s="394">
        <v>0</v>
      </c>
      <c r="D21" s="394">
        <v>0</v>
      </c>
      <c r="E21" s="394" t="s">
        <v>118</v>
      </c>
      <c r="F21" s="394">
        <v>0</v>
      </c>
      <c r="G21" s="78"/>
    </row>
    <row r="22" spans="1:7" ht="45" customHeight="1" x14ac:dyDescent="0.3">
      <c r="A22" s="396">
        <v>5</v>
      </c>
      <c r="B22" s="92" t="s">
        <v>173</v>
      </c>
      <c r="C22" s="394">
        <v>0</v>
      </c>
      <c r="D22" s="394">
        <v>0</v>
      </c>
      <c r="E22" s="394" t="s">
        <v>118</v>
      </c>
      <c r="F22" s="394">
        <v>0</v>
      </c>
      <c r="G22" s="78"/>
    </row>
    <row r="23" spans="1:7" ht="36" customHeight="1" x14ac:dyDescent="0.3">
      <c r="A23" s="396">
        <v>6</v>
      </c>
      <c r="B23" s="92" t="s">
        <v>174</v>
      </c>
      <c r="C23" s="394">
        <v>0</v>
      </c>
      <c r="D23" s="394">
        <v>0</v>
      </c>
      <c r="E23" s="394" t="s">
        <v>118</v>
      </c>
      <c r="F23" s="394">
        <v>0</v>
      </c>
      <c r="G23" s="78"/>
    </row>
    <row r="24" spans="1:7" ht="35.25" customHeight="1" x14ac:dyDescent="0.3">
      <c r="A24" s="396" t="s">
        <v>175</v>
      </c>
      <c r="B24" s="92" t="s">
        <v>176</v>
      </c>
      <c r="C24" s="394">
        <v>0</v>
      </c>
      <c r="D24" s="394">
        <v>0</v>
      </c>
      <c r="E24" s="394" t="s">
        <v>118</v>
      </c>
      <c r="F24" s="394">
        <v>0</v>
      </c>
      <c r="G24" s="78"/>
    </row>
    <row r="25" spans="1:7" ht="36.75" customHeight="1" x14ac:dyDescent="0.3">
      <c r="A25" s="396" t="s">
        <v>177</v>
      </c>
      <c r="B25" s="92" t="s">
        <v>178</v>
      </c>
      <c r="C25" s="394">
        <v>0</v>
      </c>
      <c r="D25" s="394">
        <v>0</v>
      </c>
      <c r="E25" s="394" t="s">
        <v>118</v>
      </c>
      <c r="F25" s="394">
        <v>0</v>
      </c>
      <c r="G25" s="78"/>
    </row>
    <row r="26" spans="1:7" ht="33" customHeight="1" x14ac:dyDescent="0.3">
      <c r="A26" s="396" t="s">
        <v>179</v>
      </c>
      <c r="B26" s="92" t="s">
        <v>180</v>
      </c>
      <c r="C26" s="394">
        <v>0</v>
      </c>
      <c r="D26" s="394">
        <v>0</v>
      </c>
      <c r="E26" s="394" t="s">
        <v>118</v>
      </c>
      <c r="F26" s="394">
        <v>0</v>
      </c>
      <c r="G26" s="78"/>
    </row>
    <row r="27" spans="1:7" ht="19.5" customHeight="1" x14ac:dyDescent="0.3">
      <c r="A27" s="396" t="s">
        <v>181</v>
      </c>
      <c r="B27" s="92" t="s">
        <v>182</v>
      </c>
      <c r="C27" s="394">
        <v>0</v>
      </c>
      <c r="D27" s="394">
        <v>0</v>
      </c>
      <c r="E27" s="394" t="s">
        <v>118</v>
      </c>
      <c r="F27" s="394">
        <v>0</v>
      </c>
      <c r="G27" s="78"/>
    </row>
    <row r="28" spans="1:7" ht="35.25" customHeight="1" x14ac:dyDescent="0.3">
      <c r="A28" s="396" t="s">
        <v>183</v>
      </c>
      <c r="B28" s="92" t="s">
        <v>184</v>
      </c>
      <c r="C28" s="394">
        <v>0</v>
      </c>
      <c r="D28" s="394">
        <v>0</v>
      </c>
      <c r="E28" s="394" t="s">
        <v>118</v>
      </c>
      <c r="F28" s="394">
        <v>0</v>
      </c>
      <c r="G28" s="78"/>
    </row>
    <row r="29" spans="1:7" ht="32.25" customHeight="1" x14ac:dyDescent="0.3">
      <c r="A29" s="396" t="s">
        <v>185</v>
      </c>
      <c r="B29" s="92" t="s">
        <v>186</v>
      </c>
      <c r="C29" s="394">
        <v>0</v>
      </c>
      <c r="D29" s="394">
        <v>0</v>
      </c>
      <c r="E29" s="394" t="s">
        <v>118</v>
      </c>
      <c r="F29" s="394">
        <v>0</v>
      </c>
      <c r="G29" s="78"/>
    </row>
    <row r="30" spans="1:7" ht="30" customHeight="1" x14ac:dyDescent="0.3">
      <c r="A30" s="396" t="s">
        <v>187</v>
      </c>
      <c r="B30" s="92" t="s">
        <v>188</v>
      </c>
      <c r="C30" s="394">
        <v>0</v>
      </c>
      <c r="D30" s="394">
        <v>0</v>
      </c>
      <c r="E30" s="394" t="s">
        <v>118</v>
      </c>
      <c r="F30" s="394">
        <v>0</v>
      </c>
      <c r="G30" s="78"/>
    </row>
    <row r="31" spans="1:7" ht="30" customHeight="1" x14ac:dyDescent="0.3">
      <c r="A31" s="396" t="s">
        <v>189</v>
      </c>
      <c r="B31" s="92" t="s">
        <v>246</v>
      </c>
      <c r="C31" s="394">
        <v>0</v>
      </c>
      <c r="D31" s="394">
        <v>0</v>
      </c>
      <c r="E31" s="155" t="s">
        <v>118</v>
      </c>
      <c r="F31" s="394">
        <v>0</v>
      </c>
      <c r="G31" s="78"/>
    </row>
    <row r="32" spans="1:7" ht="19.5" customHeight="1" x14ac:dyDescent="0.3">
      <c r="A32" s="396"/>
      <c r="B32" s="93" t="s">
        <v>153</v>
      </c>
      <c r="C32" s="85">
        <f>SUM(C18:C31)</f>
        <v>0</v>
      </c>
      <c r="D32" s="85">
        <f>SUM(D18:D31)</f>
        <v>430271</v>
      </c>
      <c r="E32" s="85" t="s">
        <v>118</v>
      </c>
      <c r="F32" s="85">
        <f>SUM(F18:F31)</f>
        <v>1307205</v>
      </c>
      <c r="G32" s="78"/>
    </row>
    <row r="33" spans="1:12" ht="6" customHeight="1" x14ac:dyDescent="0.3">
      <c r="A33" s="94"/>
      <c r="B33" s="95"/>
      <c r="C33" s="395"/>
      <c r="D33" s="395"/>
      <c r="E33" s="96"/>
      <c r="F33" s="398"/>
      <c r="G33" s="78"/>
    </row>
    <row r="34" spans="1:12" ht="7.2" customHeight="1" x14ac:dyDescent="0.3">
      <c r="A34" s="402"/>
      <c r="B34" s="402"/>
      <c r="C34" s="402"/>
      <c r="D34" s="402"/>
      <c r="E34" s="402"/>
      <c r="F34" s="402"/>
      <c r="G34" s="78"/>
    </row>
    <row r="35" spans="1:12" ht="50.4" customHeight="1" x14ac:dyDescent="0.3">
      <c r="A35" s="76"/>
      <c r="B35" s="401" t="s">
        <v>367</v>
      </c>
      <c r="C35" s="401"/>
      <c r="D35" s="78"/>
      <c r="E35" s="401" t="s">
        <v>366</v>
      </c>
      <c r="F35" s="401"/>
    </row>
    <row r="36" spans="1:12" ht="40.200000000000003" customHeight="1" x14ac:dyDescent="0.3">
      <c r="A36" s="156"/>
      <c r="B36" s="266" t="s">
        <v>244</v>
      </c>
      <c r="C36" s="78"/>
      <c r="D36" s="78"/>
      <c r="E36" s="267" t="s">
        <v>245</v>
      </c>
      <c r="F36" s="266" t="s">
        <v>368</v>
      </c>
    </row>
    <row r="37" spans="1:12" ht="18.75" customHeight="1" x14ac:dyDescent="0.3">
      <c r="A37" s="156"/>
      <c r="B37" s="268" t="s">
        <v>231</v>
      </c>
      <c r="C37" s="269"/>
      <c r="D37" s="78"/>
      <c r="E37" s="268" t="s">
        <v>231</v>
      </c>
      <c r="F37" s="269"/>
    </row>
    <row r="38" spans="1:12" ht="18.75" customHeight="1" x14ac:dyDescent="0.3">
      <c r="A38" s="76"/>
      <c r="B38" s="270" t="s">
        <v>232</v>
      </c>
      <c r="C38" s="270"/>
      <c r="D38" s="78"/>
      <c r="E38" s="270" t="s">
        <v>232</v>
      </c>
      <c r="F38" s="270"/>
      <c r="G38" s="97"/>
      <c r="H38" s="97"/>
      <c r="I38" s="97"/>
      <c r="J38" s="97"/>
      <c r="K38" s="97"/>
      <c r="L38" s="97"/>
    </row>
    <row r="39" spans="1:12" ht="14.25" customHeight="1" x14ac:dyDescent="0.3">
      <c r="A39" s="98"/>
      <c r="B39" s="98"/>
      <c r="C39" s="76"/>
      <c r="D39" s="132"/>
      <c r="E39" s="132"/>
      <c r="F39" s="76"/>
      <c r="G39" s="99"/>
      <c r="H39" s="99"/>
      <c r="I39" s="99"/>
      <c r="J39" s="99"/>
      <c r="K39" s="99"/>
      <c r="L39" s="99"/>
    </row>
    <row r="40" spans="1:12" ht="15.75" customHeight="1" x14ac:dyDescent="0.3">
      <c r="A40" s="399" t="s">
        <v>115</v>
      </c>
      <c r="B40" s="399"/>
      <c r="C40" s="399"/>
      <c r="D40" s="399"/>
      <c r="E40" s="399"/>
      <c r="F40" s="399"/>
    </row>
    <row r="41" spans="1:12" ht="33.75" customHeight="1" x14ac:dyDescent="0.3">
      <c r="B41" s="400" t="s">
        <v>190</v>
      </c>
      <c r="C41" s="400"/>
      <c r="D41" s="400"/>
      <c r="E41" s="400"/>
      <c r="F41" s="400"/>
    </row>
    <row r="42" spans="1:12" x14ac:dyDescent="0.3">
      <c r="A42" s="98"/>
      <c r="B42" s="98"/>
      <c r="C42" s="101"/>
      <c r="F42" s="98"/>
    </row>
    <row r="43" spans="1:12" x14ac:dyDescent="0.3">
      <c r="A43" s="98"/>
      <c r="B43" s="98"/>
      <c r="C43" s="2"/>
      <c r="F43" s="98"/>
    </row>
    <row r="44" spans="1:12" x14ac:dyDescent="0.3">
      <c r="A44" s="77"/>
      <c r="B44" s="78"/>
      <c r="C44" s="78"/>
      <c r="D44" s="78"/>
      <c r="E44" s="78"/>
    </row>
    <row r="46" spans="1:12" s="97" customFormat="1" x14ac:dyDescent="0.3">
      <c r="A46" s="102"/>
      <c r="B46" s="103"/>
      <c r="C46" s="104"/>
      <c r="D46" s="104"/>
      <c r="E46" s="104"/>
    </row>
    <row r="47" spans="1:12" s="97" customFormat="1" x14ac:dyDescent="0.3">
      <c r="A47" s="102"/>
      <c r="B47" s="103"/>
      <c r="C47" s="104"/>
      <c r="D47" s="104"/>
      <c r="E47" s="104"/>
    </row>
    <row r="48" spans="1:12" s="97" customFormat="1" x14ac:dyDescent="0.3">
      <c r="A48" s="102"/>
      <c r="B48" s="103"/>
      <c r="C48" s="104"/>
      <c r="D48" s="104"/>
      <c r="E48" s="104"/>
    </row>
    <row r="49" spans="1:5" s="97" customFormat="1" x14ac:dyDescent="0.3">
      <c r="A49" s="102"/>
      <c r="B49" s="103"/>
      <c r="C49" s="104"/>
      <c r="D49" s="104"/>
      <c r="E49" s="104"/>
    </row>
    <row r="50" spans="1:5" s="97" customFormat="1" x14ac:dyDescent="0.3">
      <c r="A50" s="102"/>
      <c r="B50" s="103"/>
      <c r="C50" s="104"/>
      <c r="D50" s="104"/>
      <c r="E50" s="104"/>
    </row>
    <row r="51" spans="1:5" s="97" customFormat="1" ht="48" customHeight="1" x14ac:dyDescent="0.3">
      <c r="A51" s="102"/>
      <c r="B51" s="103"/>
      <c r="C51" s="104"/>
      <c r="D51" s="104"/>
      <c r="E51" s="104"/>
    </row>
    <row r="52" spans="1:5" s="97" customFormat="1" ht="49.5" customHeight="1" x14ac:dyDescent="0.3">
      <c r="A52" s="102"/>
      <c r="B52" s="103"/>
      <c r="C52" s="104"/>
      <c r="D52" s="104"/>
      <c r="E52" s="104"/>
    </row>
    <row r="53" spans="1:5" ht="47.25" customHeight="1" x14ac:dyDescent="0.3"/>
    <row r="54" spans="1:5" ht="35.25" customHeight="1" x14ac:dyDescent="0.3"/>
    <row r="55" spans="1:5" ht="32.25" customHeight="1" x14ac:dyDescent="0.3"/>
    <row r="56" spans="1:5" ht="26.25" customHeight="1" x14ac:dyDescent="0.3"/>
    <row r="57" spans="1:5" ht="63.75" customHeight="1" x14ac:dyDescent="0.3"/>
    <row r="62" spans="1:5" x14ac:dyDescent="0.3">
      <c r="A62" s="80"/>
    </row>
    <row r="63" spans="1:5" x14ac:dyDescent="0.3">
      <c r="A63" s="80"/>
    </row>
    <row r="64" spans="1:5" x14ac:dyDescent="0.3">
      <c r="A64" s="80"/>
    </row>
    <row r="65" spans="1:1" x14ac:dyDescent="0.3">
      <c r="A65" s="80"/>
    </row>
    <row r="66" spans="1:1" x14ac:dyDescent="0.3">
      <c r="A66" s="80"/>
    </row>
    <row r="67" spans="1:1" x14ac:dyDescent="0.3">
      <c r="A67" s="80"/>
    </row>
    <row r="68" spans="1:1" x14ac:dyDescent="0.3">
      <c r="A68" s="80"/>
    </row>
    <row r="69" spans="1:1" x14ac:dyDescent="0.3">
      <c r="A69" s="80"/>
    </row>
    <row r="70" spans="1:1" x14ac:dyDescent="0.3">
      <c r="A70" s="80"/>
    </row>
    <row r="71" spans="1:1" x14ac:dyDescent="0.3">
      <c r="A71" s="80"/>
    </row>
    <row r="72" spans="1:1" x14ac:dyDescent="0.3">
      <c r="A72" s="80"/>
    </row>
    <row r="73" spans="1:1" x14ac:dyDescent="0.3">
      <c r="A73" s="80"/>
    </row>
    <row r="74" spans="1:1" x14ac:dyDescent="0.3">
      <c r="A74" s="80"/>
    </row>
    <row r="75" spans="1:1" x14ac:dyDescent="0.3">
      <c r="A75" s="80"/>
    </row>
    <row r="76" spans="1:1" x14ac:dyDescent="0.3">
      <c r="A76" s="80"/>
    </row>
    <row r="77" spans="1:1" x14ac:dyDescent="0.3">
      <c r="A77" s="80"/>
    </row>
    <row r="78" spans="1:1" x14ac:dyDescent="0.3">
      <c r="A78" s="80"/>
    </row>
    <row r="79" spans="1:1" x14ac:dyDescent="0.3">
      <c r="A79" s="80"/>
    </row>
    <row r="80" spans="1:1" x14ac:dyDescent="0.3">
      <c r="A80" s="80"/>
    </row>
    <row r="81" spans="1:1" x14ac:dyDescent="0.3">
      <c r="A81" s="80"/>
    </row>
    <row r="82" spans="1:1" x14ac:dyDescent="0.3">
      <c r="A82" s="80"/>
    </row>
    <row r="83" spans="1:1" x14ac:dyDescent="0.3">
      <c r="A83" s="80"/>
    </row>
    <row r="84" spans="1:1" x14ac:dyDescent="0.3">
      <c r="A84" s="80"/>
    </row>
    <row r="85" spans="1:1" x14ac:dyDescent="0.3">
      <c r="A85" s="80"/>
    </row>
    <row r="86" spans="1:1" x14ac:dyDescent="0.3">
      <c r="A86" s="80"/>
    </row>
    <row r="87" spans="1:1" x14ac:dyDescent="0.3">
      <c r="A87" s="80"/>
    </row>
    <row r="88" spans="1:1" x14ac:dyDescent="0.3">
      <c r="A88" s="80"/>
    </row>
    <row r="89" spans="1:1" x14ac:dyDescent="0.3">
      <c r="A89" s="80"/>
    </row>
    <row r="90" spans="1:1" x14ac:dyDescent="0.3">
      <c r="A90" s="80"/>
    </row>
    <row r="91" spans="1:1" x14ac:dyDescent="0.3">
      <c r="A91" s="80"/>
    </row>
  </sheetData>
  <mergeCells count="17">
    <mergeCell ref="A34:F34"/>
    <mergeCell ref="B35:C35"/>
    <mergeCell ref="E35:F35"/>
    <mergeCell ref="A40:F40"/>
    <mergeCell ref="B41:F41"/>
    <mergeCell ref="A10:B10"/>
    <mergeCell ref="A11:B11"/>
    <mergeCell ref="A13:F13"/>
    <mergeCell ref="A15:A16"/>
    <mergeCell ref="B15:B16"/>
    <mergeCell ref="D15:E15"/>
    <mergeCell ref="A3:F3"/>
    <mergeCell ref="A4:F4"/>
    <mergeCell ref="A6:B7"/>
    <mergeCell ref="D6:E6"/>
    <mergeCell ref="A8:B8"/>
    <mergeCell ref="A9:B9"/>
  </mergeCells>
  <printOptions horizontalCentered="1"/>
  <pageMargins left="0.25" right="0.25" top="0.75" bottom="0.75" header="0.3" footer="0.3"/>
  <pageSetup paperSize="9" scale="44" firstPageNumber="24" fitToHeight="0" orientation="landscape" r:id="rId1"/>
  <rowBreaks count="1" manualBreakCount="1">
    <brk id="43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opLeftCell="A4" workbookViewId="0">
      <selection activeCell="D16" sqref="D16"/>
    </sheetView>
  </sheetViews>
  <sheetFormatPr defaultColWidth="9.109375" defaultRowHeight="14.4" x14ac:dyDescent="0.3"/>
  <cols>
    <col min="1" max="1" width="5.33203125" style="213" customWidth="1"/>
    <col min="2" max="2" width="67.5546875" style="213" customWidth="1"/>
    <col min="3" max="3" width="16" style="214" customWidth="1"/>
    <col min="4" max="4" width="26.109375" style="213" customWidth="1"/>
    <col min="5" max="5" width="29.44140625" style="215" customWidth="1"/>
    <col min="6" max="6" width="9.109375" style="213"/>
    <col min="7" max="7" width="10.5546875" style="213" bestFit="1" customWidth="1"/>
    <col min="8" max="16384" width="9.109375" style="213"/>
  </cols>
  <sheetData>
    <row r="1" spans="1:9" ht="15.6" x14ac:dyDescent="0.3">
      <c r="A1" s="60"/>
      <c r="B1" s="60"/>
      <c r="C1" s="107"/>
      <c r="D1" s="444" t="s">
        <v>194</v>
      </c>
      <c r="E1" s="444"/>
    </row>
    <row r="2" spans="1:9" ht="12" customHeight="1" x14ac:dyDescent="0.25">
      <c r="A2" s="60"/>
      <c r="B2" s="60"/>
      <c r="C2" s="107"/>
      <c r="D2" s="108"/>
      <c r="E2" s="109"/>
    </row>
    <row r="3" spans="1:9" ht="18" x14ac:dyDescent="0.35">
      <c r="A3" s="110"/>
      <c r="B3" s="111"/>
      <c r="C3" s="107"/>
      <c r="D3" s="278" t="s">
        <v>195</v>
      </c>
      <c r="E3" s="279"/>
    </row>
    <row r="4" spans="1:9" ht="10.95" customHeight="1" x14ac:dyDescent="0.3">
      <c r="A4" s="111"/>
      <c r="B4" s="111"/>
      <c r="C4" s="111"/>
      <c r="D4" s="280"/>
      <c r="E4" s="279"/>
    </row>
    <row r="5" spans="1:9" ht="25.2" customHeight="1" x14ac:dyDescent="0.3">
      <c r="A5" s="445"/>
      <c r="B5" s="445"/>
      <c r="C5" s="107"/>
      <c r="D5" s="413" t="s">
        <v>233</v>
      </c>
      <c r="E5" s="413"/>
    </row>
    <row r="6" spans="1:9" ht="33.75" customHeight="1" x14ac:dyDescent="0.35">
      <c r="A6" s="112"/>
      <c r="B6" s="112"/>
      <c r="C6" s="107"/>
      <c r="D6" s="271"/>
      <c r="E6" s="192" t="s">
        <v>234</v>
      </c>
    </row>
    <row r="7" spans="1:9" ht="18" x14ac:dyDescent="0.3">
      <c r="A7" s="111"/>
      <c r="B7" s="111"/>
      <c r="C7" s="107"/>
      <c r="D7" s="272" t="s">
        <v>231</v>
      </c>
      <c r="E7" s="195"/>
    </row>
    <row r="8" spans="1:9" ht="26.4" customHeight="1" x14ac:dyDescent="0.35">
      <c r="A8" s="111"/>
      <c r="B8" s="111"/>
      <c r="C8" s="321"/>
      <c r="D8" s="197" t="s">
        <v>232</v>
      </c>
      <c r="E8" s="197"/>
    </row>
    <row r="9" spans="1:9" ht="72" customHeight="1" x14ac:dyDescent="0.3">
      <c r="A9" s="446" t="s">
        <v>347</v>
      </c>
      <c r="B9" s="446"/>
      <c r="C9" s="446"/>
      <c r="D9" s="446"/>
      <c r="E9" s="446"/>
    </row>
    <row r="10" spans="1:9" ht="12" customHeight="1" x14ac:dyDescent="0.25">
      <c r="A10" s="113"/>
      <c r="B10" s="114"/>
      <c r="C10" s="114"/>
      <c r="D10" s="114"/>
      <c r="E10" s="109"/>
    </row>
    <row r="11" spans="1:9" ht="36.75" customHeight="1" x14ac:dyDescent="0.3">
      <c r="A11" s="115" t="s">
        <v>166</v>
      </c>
      <c r="B11" s="116" t="s">
        <v>196</v>
      </c>
      <c r="C11" s="115" t="s">
        <v>197</v>
      </c>
      <c r="D11" s="115" t="s">
        <v>198</v>
      </c>
      <c r="E11" s="115" t="s">
        <v>251</v>
      </c>
    </row>
    <row r="12" spans="1:9" ht="16.5" customHeight="1" x14ac:dyDescent="0.25">
      <c r="A12" s="323">
        <v>1</v>
      </c>
      <c r="B12" s="323">
        <v>2</v>
      </c>
      <c r="C12" s="323">
        <v>3</v>
      </c>
      <c r="D12" s="117">
        <v>4</v>
      </c>
      <c r="E12" s="118">
        <v>5</v>
      </c>
      <c r="F12" s="216"/>
      <c r="G12" s="216"/>
      <c r="H12" s="216"/>
      <c r="I12" s="216"/>
    </row>
    <row r="13" spans="1:9" ht="21" customHeight="1" x14ac:dyDescent="0.3">
      <c r="A13" s="323">
        <v>1</v>
      </c>
      <c r="B13" s="320" t="s">
        <v>199</v>
      </c>
      <c r="C13" s="447" t="s">
        <v>252</v>
      </c>
      <c r="D13" s="128">
        <f>'Бизнес-план 21 190117'!C25</f>
        <v>28960</v>
      </c>
      <c r="E13" s="117" t="s">
        <v>118</v>
      </c>
      <c r="F13" s="216"/>
      <c r="G13" s="216"/>
      <c r="H13" s="216"/>
      <c r="I13" s="216"/>
    </row>
    <row r="14" spans="1:9" ht="19.5" customHeight="1" x14ac:dyDescent="0.3">
      <c r="A14" s="319" t="s">
        <v>200</v>
      </c>
      <c r="B14" s="119" t="s">
        <v>201</v>
      </c>
      <c r="C14" s="448"/>
      <c r="D14" s="128">
        <f>D13</f>
        <v>28960</v>
      </c>
      <c r="E14" s="117" t="s">
        <v>118</v>
      </c>
      <c r="F14" s="216"/>
      <c r="G14" s="216"/>
      <c r="H14" s="216"/>
      <c r="I14" s="216"/>
    </row>
    <row r="15" spans="1:9" ht="35.25" customHeight="1" x14ac:dyDescent="0.3">
      <c r="A15" s="319" t="s">
        <v>202</v>
      </c>
      <c r="B15" s="120" t="s">
        <v>203</v>
      </c>
      <c r="C15" s="323" t="s">
        <v>204</v>
      </c>
      <c r="D15" s="128">
        <f>'Бизнес-план 21 190117'!C6</f>
        <v>19279771</v>
      </c>
      <c r="E15" s="117" t="s">
        <v>118</v>
      </c>
      <c r="F15" s="216"/>
      <c r="G15" s="216"/>
      <c r="H15" s="216"/>
      <c r="I15" s="216"/>
    </row>
    <row r="16" spans="1:9" ht="27.6" x14ac:dyDescent="0.3">
      <c r="A16" s="319" t="s">
        <v>15</v>
      </c>
      <c r="B16" s="121" t="s">
        <v>205</v>
      </c>
      <c r="C16" s="323" t="s">
        <v>204</v>
      </c>
      <c r="D16" s="128">
        <f>'Бизнес-план 21 190117'!C7</f>
        <v>18018478</v>
      </c>
      <c r="E16" s="117" t="s">
        <v>118</v>
      </c>
      <c r="F16" s="216"/>
      <c r="G16" s="216"/>
      <c r="H16" s="216"/>
      <c r="I16" s="216"/>
    </row>
    <row r="17" spans="1:8" ht="21.75" customHeight="1" x14ac:dyDescent="0.3">
      <c r="A17" s="319" t="s">
        <v>17</v>
      </c>
      <c r="B17" s="121" t="s">
        <v>206</v>
      </c>
      <c r="C17" s="323" t="s">
        <v>204</v>
      </c>
      <c r="D17" s="117" t="s">
        <v>118</v>
      </c>
      <c r="E17" s="323" t="s">
        <v>118</v>
      </c>
    </row>
    <row r="18" spans="1:8" ht="35.25" customHeight="1" x14ac:dyDescent="0.3">
      <c r="A18" s="319" t="s">
        <v>19</v>
      </c>
      <c r="B18" s="119" t="s">
        <v>207</v>
      </c>
      <c r="C18" s="323" t="s">
        <v>204</v>
      </c>
      <c r="D18" s="212">
        <f>558.36*1.0556*1.0556</f>
        <v>622.17999999999995</v>
      </c>
      <c r="E18" s="323" t="s">
        <v>118</v>
      </c>
      <c r="G18" s="353"/>
    </row>
    <row r="19" spans="1:8" x14ac:dyDescent="0.3">
      <c r="A19" s="449" t="s">
        <v>21</v>
      </c>
      <c r="B19" s="450" t="s">
        <v>208</v>
      </c>
      <c r="C19" s="323" t="s">
        <v>209</v>
      </c>
      <c r="D19" s="129">
        <v>7.0000000000000007E-2</v>
      </c>
      <c r="E19" s="323" t="s">
        <v>118</v>
      </c>
    </row>
    <row r="20" spans="1:8" ht="17.25" customHeight="1" x14ac:dyDescent="0.3">
      <c r="A20" s="449"/>
      <c r="B20" s="450"/>
      <c r="C20" s="323" t="s">
        <v>204</v>
      </c>
      <c r="D20" s="128">
        <f>D16*D19</f>
        <v>1261293</v>
      </c>
      <c r="E20" s="323" t="s">
        <v>118</v>
      </c>
    </row>
    <row r="21" spans="1:8" x14ac:dyDescent="0.3">
      <c r="A21" s="319" t="s">
        <v>210</v>
      </c>
      <c r="B21" s="320" t="s">
        <v>211</v>
      </c>
      <c r="C21" s="323" t="s">
        <v>209</v>
      </c>
      <c r="D21" s="129">
        <v>0.3</v>
      </c>
      <c r="E21" s="323" t="s">
        <v>118</v>
      </c>
    </row>
    <row r="22" spans="1:8" ht="15.75" customHeight="1" x14ac:dyDescent="0.3">
      <c r="A22" s="319" t="s">
        <v>24</v>
      </c>
      <c r="B22" s="120" t="s">
        <v>212</v>
      </c>
      <c r="C22" s="323" t="s">
        <v>209</v>
      </c>
      <c r="D22" s="129">
        <f>D21-D23</f>
        <v>0.29799999999999999</v>
      </c>
      <c r="E22" s="323" t="s">
        <v>118</v>
      </c>
    </row>
    <row r="23" spans="1:8" ht="39" customHeight="1" x14ac:dyDescent="0.3">
      <c r="A23" s="319" t="s">
        <v>27</v>
      </c>
      <c r="B23" s="121" t="s">
        <v>213</v>
      </c>
      <c r="C23" s="323" t="s">
        <v>209</v>
      </c>
      <c r="D23" s="129">
        <v>2E-3</v>
      </c>
      <c r="E23" s="117" t="s">
        <v>118</v>
      </c>
    </row>
    <row r="24" spans="1:8" x14ac:dyDescent="0.3">
      <c r="A24" s="319" t="s">
        <v>214</v>
      </c>
      <c r="B24" s="121" t="s">
        <v>215</v>
      </c>
      <c r="C24" s="117"/>
      <c r="D24" s="122"/>
      <c r="E24" s="323"/>
    </row>
    <row r="25" spans="1:8" ht="48.75" customHeight="1" x14ac:dyDescent="0.3">
      <c r="A25" s="319" t="s">
        <v>35</v>
      </c>
      <c r="B25" s="121" t="s">
        <v>253</v>
      </c>
      <c r="C25" s="323" t="s">
        <v>209</v>
      </c>
      <c r="D25" s="129">
        <v>0.82</v>
      </c>
      <c r="E25" s="158" t="s">
        <v>118</v>
      </c>
    </row>
    <row r="26" spans="1:8" ht="52.5" customHeight="1" x14ac:dyDescent="0.3">
      <c r="A26" s="319" t="s">
        <v>45</v>
      </c>
      <c r="B26" s="121" t="s">
        <v>254</v>
      </c>
      <c r="C26" s="323" t="s">
        <v>209</v>
      </c>
      <c r="D26" s="129">
        <v>0.13</v>
      </c>
      <c r="E26" s="323" t="s">
        <v>118</v>
      </c>
    </row>
    <row r="27" spans="1:8" ht="24" customHeight="1" x14ac:dyDescent="0.3">
      <c r="A27" s="319" t="s">
        <v>216</v>
      </c>
      <c r="B27" s="119" t="s">
        <v>255</v>
      </c>
      <c r="C27" s="323" t="s">
        <v>217</v>
      </c>
      <c r="D27" s="117" t="s">
        <v>118</v>
      </c>
      <c r="E27" s="323" t="s">
        <v>118</v>
      </c>
    </row>
    <row r="28" spans="1:8" ht="24" customHeight="1" x14ac:dyDescent="0.3">
      <c r="A28" s="123">
        <v>5</v>
      </c>
      <c r="B28" s="119" t="s">
        <v>256</v>
      </c>
      <c r="C28" s="323" t="s">
        <v>209</v>
      </c>
      <c r="D28" s="117" t="s">
        <v>118</v>
      </c>
      <c r="E28" s="323" t="s">
        <v>118</v>
      </c>
    </row>
    <row r="29" spans="1:8" ht="21" customHeight="1" x14ac:dyDescent="0.3">
      <c r="A29" s="124"/>
      <c r="B29" s="124"/>
      <c r="C29" s="125"/>
      <c r="D29" s="124"/>
      <c r="E29" s="126"/>
    </row>
    <row r="30" spans="1:8" ht="53.4" customHeight="1" x14ac:dyDescent="0.3">
      <c r="A30" s="201"/>
      <c r="B30" s="201"/>
      <c r="C30" s="201"/>
      <c r="D30" s="413" t="s">
        <v>366</v>
      </c>
      <c r="E30" s="413"/>
      <c r="F30" s="217"/>
      <c r="G30" s="218"/>
      <c r="H30" s="218"/>
    </row>
    <row r="31" spans="1:8" ht="37.950000000000003" customHeight="1" x14ac:dyDescent="0.35">
      <c r="A31" s="159"/>
      <c r="B31" s="159"/>
      <c r="C31" s="127"/>
      <c r="D31" s="200" t="s">
        <v>245</v>
      </c>
      <c r="E31" s="192" t="s">
        <v>368</v>
      </c>
      <c r="F31" s="219"/>
      <c r="G31" s="217"/>
    </row>
    <row r="32" spans="1:8" ht="16.5" customHeight="1" x14ac:dyDescent="0.3">
      <c r="A32" s="60"/>
      <c r="B32" s="60"/>
      <c r="C32" s="159"/>
      <c r="D32" s="194" t="s">
        <v>231</v>
      </c>
      <c r="E32" s="195"/>
      <c r="F32" s="220"/>
      <c r="G32" s="221"/>
    </row>
    <row r="33" spans="1:7" ht="33" customHeight="1" x14ac:dyDescent="0.35">
      <c r="A33" s="60"/>
      <c r="B33" s="318"/>
      <c r="C33" s="318"/>
      <c r="D33" s="197" t="s">
        <v>232</v>
      </c>
      <c r="E33" s="197"/>
      <c r="F33" s="223"/>
      <c r="G33" s="221"/>
    </row>
    <row r="34" spans="1:7" ht="38.25" customHeight="1" x14ac:dyDescent="0.3">
      <c r="A34" s="442" t="s">
        <v>115</v>
      </c>
      <c r="B34" s="442"/>
      <c r="C34" s="442"/>
      <c r="D34" s="442"/>
      <c r="E34" s="442"/>
      <c r="F34" s="221"/>
      <c r="G34" s="221"/>
    </row>
    <row r="35" spans="1:7" ht="33" customHeight="1" x14ac:dyDescent="0.3">
      <c r="A35" s="60"/>
      <c r="B35" s="443" t="s">
        <v>218</v>
      </c>
      <c r="C35" s="443"/>
      <c r="D35" s="443"/>
      <c r="E35" s="109"/>
      <c r="F35" s="221"/>
      <c r="G35" s="221"/>
    </row>
    <row r="36" spans="1:7" ht="11.25" customHeight="1" x14ac:dyDescent="0.3">
      <c r="B36" s="222"/>
      <c r="C36" s="224"/>
      <c r="D36" s="221"/>
      <c r="E36" s="225"/>
      <c r="F36" s="221"/>
      <c r="G36" s="221"/>
    </row>
    <row r="37" spans="1:7" x14ac:dyDescent="0.3">
      <c r="B37" s="222"/>
      <c r="C37" s="224"/>
      <c r="D37" s="221"/>
      <c r="E37" s="225"/>
      <c r="F37" s="221"/>
      <c r="G37" s="221"/>
    </row>
    <row r="38" spans="1:7" x14ac:dyDescent="0.3">
      <c r="E38" s="226"/>
      <c r="F38" s="227"/>
      <c r="G38" s="227"/>
    </row>
  </sheetData>
  <mergeCells count="10">
    <mergeCell ref="D30:E30"/>
    <mergeCell ref="A34:E34"/>
    <mergeCell ref="B35:D35"/>
    <mergeCell ref="D1:E1"/>
    <mergeCell ref="A5:B5"/>
    <mergeCell ref="D5:E5"/>
    <mergeCell ref="A9:E9"/>
    <mergeCell ref="C13:C14"/>
    <mergeCell ref="A19:A20"/>
    <mergeCell ref="B19:B20"/>
  </mergeCells>
  <pageMargins left="0.39370078740157483" right="0.31496062992125984" top="0.78740157480314965" bottom="0.39370078740157483" header="0.19685039370078741" footer="0.19685039370078741"/>
  <pageSetup paperSize="9" scale="66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opLeftCell="A7" workbookViewId="0">
      <selection activeCell="D16" sqref="D16"/>
    </sheetView>
  </sheetViews>
  <sheetFormatPr defaultColWidth="9.109375" defaultRowHeight="14.4" x14ac:dyDescent="0.3"/>
  <cols>
    <col min="1" max="1" width="5.33203125" style="213" customWidth="1"/>
    <col min="2" max="2" width="67.5546875" style="213" customWidth="1"/>
    <col min="3" max="3" width="16" style="214" customWidth="1"/>
    <col min="4" max="4" width="26.109375" style="213" customWidth="1"/>
    <col min="5" max="5" width="29.44140625" style="215" customWidth="1"/>
    <col min="6" max="6" width="9.109375" style="213"/>
    <col min="7" max="7" width="10.5546875" style="213" bestFit="1" customWidth="1"/>
    <col min="8" max="16384" width="9.109375" style="213"/>
  </cols>
  <sheetData>
    <row r="1" spans="1:9" ht="15.6" x14ac:dyDescent="0.3">
      <c r="A1" s="60"/>
      <c r="B1" s="60"/>
      <c r="C1" s="107"/>
      <c r="D1" s="444" t="s">
        <v>194</v>
      </c>
      <c r="E1" s="444"/>
    </row>
    <row r="2" spans="1:9" ht="12" customHeight="1" x14ac:dyDescent="0.25">
      <c r="A2" s="60"/>
      <c r="B2" s="60"/>
      <c r="C2" s="107"/>
      <c r="D2" s="108"/>
      <c r="E2" s="109"/>
    </row>
    <row r="3" spans="1:9" ht="18" x14ac:dyDescent="0.35">
      <c r="A3" s="110"/>
      <c r="B3" s="111"/>
      <c r="C3" s="107"/>
      <c r="D3" s="278" t="s">
        <v>195</v>
      </c>
      <c r="E3" s="279"/>
    </row>
    <row r="4" spans="1:9" ht="10.95" customHeight="1" x14ac:dyDescent="0.3">
      <c r="A4" s="111"/>
      <c r="B4" s="111"/>
      <c r="C4" s="111"/>
      <c r="D4" s="280"/>
      <c r="E4" s="279"/>
    </row>
    <row r="5" spans="1:9" ht="25.2" customHeight="1" x14ac:dyDescent="0.3">
      <c r="A5" s="445"/>
      <c r="B5" s="445"/>
      <c r="C5" s="107"/>
      <c r="D5" s="413" t="s">
        <v>233</v>
      </c>
      <c r="E5" s="413"/>
    </row>
    <row r="6" spans="1:9" ht="33.75" customHeight="1" x14ac:dyDescent="0.35">
      <c r="A6" s="112"/>
      <c r="B6" s="112"/>
      <c r="C6" s="107"/>
      <c r="D6" s="271"/>
      <c r="E6" s="192" t="s">
        <v>234</v>
      </c>
    </row>
    <row r="7" spans="1:9" ht="18" x14ac:dyDescent="0.3">
      <c r="A7" s="111"/>
      <c r="B7" s="111"/>
      <c r="C7" s="107"/>
      <c r="D7" s="272" t="s">
        <v>231</v>
      </c>
      <c r="E7" s="195"/>
    </row>
    <row r="8" spans="1:9" ht="26.4" customHeight="1" x14ac:dyDescent="0.35">
      <c r="A8" s="111"/>
      <c r="B8" s="111"/>
      <c r="C8" s="321"/>
      <c r="D8" s="197" t="s">
        <v>232</v>
      </c>
      <c r="E8" s="197"/>
    </row>
    <row r="9" spans="1:9" ht="72" customHeight="1" x14ac:dyDescent="0.3">
      <c r="A9" s="446" t="s">
        <v>348</v>
      </c>
      <c r="B9" s="446"/>
      <c r="C9" s="446"/>
      <c r="D9" s="446"/>
      <c r="E9" s="446"/>
    </row>
    <row r="10" spans="1:9" ht="12" customHeight="1" x14ac:dyDescent="0.25">
      <c r="A10" s="113"/>
      <c r="B10" s="114"/>
      <c r="C10" s="114"/>
      <c r="D10" s="114"/>
      <c r="E10" s="109"/>
    </row>
    <row r="11" spans="1:9" ht="36.75" customHeight="1" x14ac:dyDescent="0.3">
      <c r="A11" s="115" t="s">
        <v>166</v>
      </c>
      <c r="B11" s="116" t="s">
        <v>196</v>
      </c>
      <c r="C11" s="115" t="s">
        <v>197</v>
      </c>
      <c r="D11" s="115" t="s">
        <v>198</v>
      </c>
      <c r="E11" s="115" t="s">
        <v>251</v>
      </c>
    </row>
    <row r="12" spans="1:9" ht="16.5" customHeight="1" x14ac:dyDescent="0.25">
      <c r="A12" s="323">
        <v>1</v>
      </c>
      <c r="B12" s="323">
        <v>2</v>
      </c>
      <c r="C12" s="323">
        <v>3</v>
      </c>
      <c r="D12" s="117">
        <v>4</v>
      </c>
      <c r="E12" s="118">
        <v>5</v>
      </c>
      <c r="F12" s="216"/>
      <c r="G12" s="216"/>
      <c r="H12" s="216"/>
      <c r="I12" s="216"/>
    </row>
    <row r="13" spans="1:9" ht="21" customHeight="1" x14ac:dyDescent="0.3">
      <c r="A13" s="323">
        <v>1</v>
      </c>
      <c r="B13" s="320" t="s">
        <v>199</v>
      </c>
      <c r="C13" s="447" t="s">
        <v>252</v>
      </c>
      <c r="D13" s="128">
        <f>'Бизнес-план 22 190117'!C25</f>
        <v>9475</v>
      </c>
      <c r="E13" s="117" t="s">
        <v>118</v>
      </c>
      <c r="F13" s="216"/>
      <c r="G13" s="216"/>
      <c r="H13" s="216"/>
      <c r="I13" s="216"/>
    </row>
    <row r="14" spans="1:9" ht="19.5" customHeight="1" x14ac:dyDescent="0.3">
      <c r="A14" s="319" t="s">
        <v>200</v>
      </c>
      <c r="B14" s="119" t="s">
        <v>201</v>
      </c>
      <c r="C14" s="448"/>
      <c r="D14" s="128">
        <f>D13</f>
        <v>9475</v>
      </c>
      <c r="E14" s="117" t="s">
        <v>118</v>
      </c>
      <c r="F14" s="216"/>
      <c r="G14" s="216"/>
      <c r="H14" s="216"/>
      <c r="I14" s="216"/>
    </row>
    <row r="15" spans="1:9" ht="35.25" customHeight="1" x14ac:dyDescent="0.3">
      <c r="A15" s="319" t="s">
        <v>202</v>
      </c>
      <c r="B15" s="120" t="s">
        <v>203</v>
      </c>
      <c r="C15" s="323" t="s">
        <v>204</v>
      </c>
      <c r="D15" s="128">
        <f>'Бизнес-план 22 190117'!C6</f>
        <v>6658498</v>
      </c>
      <c r="E15" s="117" t="s">
        <v>118</v>
      </c>
      <c r="F15" s="216"/>
      <c r="G15" s="216"/>
      <c r="H15" s="216"/>
      <c r="I15" s="216"/>
    </row>
    <row r="16" spans="1:9" ht="27.6" x14ac:dyDescent="0.3">
      <c r="A16" s="319" t="s">
        <v>15</v>
      </c>
      <c r="B16" s="121" t="s">
        <v>205</v>
      </c>
      <c r="C16" s="323" t="s">
        <v>204</v>
      </c>
      <c r="D16" s="128">
        <f>'Бизнес-план 22 190117'!C7</f>
        <v>6222896</v>
      </c>
      <c r="E16" s="117" t="s">
        <v>118</v>
      </c>
      <c r="F16" s="216"/>
      <c r="G16" s="216"/>
      <c r="H16" s="216"/>
      <c r="I16" s="216"/>
    </row>
    <row r="17" spans="1:8" ht="21.75" customHeight="1" x14ac:dyDescent="0.3">
      <c r="A17" s="319" t="s">
        <v>17</v>
      </c>
      <c r="B17" s="121" t="s">
        <v>206</v>
      </c>
      <c r="C17" s="323" t="s">
        <v>204</v>
      </c>
      <c r="D17" s="117" t="s">
        <v>118</v>
      </c>
      <c r="E17" s="323" t="s">
        <v>118</v>
      </c>
    </row>
    <row r="18" spans="1:8" ht="35.25" customHeight="1" x14ac:dyDescent="0.3">
      <c r="A18" s="319" t="s">
        <v>19</v>
      </c>
      <c r="B18" s="119" t="s">
        <v>207</v>
      </c>
      <c r="C18" s="323" t="s">
        <v>204</v>
      </c>
      <c r="D18" s="212">
        <f>558.36*1.0556*1.0556*1.0556</f>
        <v>656.77</v>
      </c>
      <c r="E18" s="323" t="s">
        <v>118</v>
      </c>
      <c r="G18" s="353"/>
    </row>
    <row r="19" spans="1:8" x14ac:dyDescent="0.3">
      <c r="A19" s="449" t="s">
        <v>21</v>
      </c>
      <c r="B19" s="450" t="s">
        <v>208</v>
      </c>
      <c r="C19" s="323" t="s">
        <v>209</v>
      </c>
      <c r="D19" s="129">
        <v>7.0000000000000007E-2</v>
      </c>
      <c r="E19" s="323" t="s">
        <v>118</v>
      </c>
    </row>
    <row r="20" spans="1:8" ht="17.25" customHeight="1" x14ac:dyDescent="0.3">
      <c r="A20" s="449"/>
      <c r="B20" s="450"/>
      <c r="C20" s="323" t="s">
        <v>204</v>
      </c>
      <c r="D20" s="128">
        <f>D16*D19</f>
        <v>435603</v>
      </c>
      <c r="E20" s="323" t="s">
        <v>118</v>
      </c>
    </row>
    <row r="21" spans="1:8" x14ac:dyDescent="0.3">
      <c r="A21" s="319" t="s">
        <v>210</v>
      </c>
      <c r="B21" s="320" t="s">
        <v>211</v>
      </c>
      <c r="C21" s="323" t="s">
        <v>209</v>
      </c>
      <c r="D21" s="129">
        <v>0.3</v>
      </c>
      <c r="E21" s="323" t="s">
        <v>118</v>
      </c>
    </row>
    <row r="22" spans="1:8" ht="15.75" customHeight="1" x14ac:dyDescent="0.3">
      <c r="A22" s="319" t="s">
        <v>24</v>
      </c>
      <c r="B22" s="120" t="s">
        <v>212</v>
      </c>
      <c r="C22" s="323" t="s">
        <v>209</v>
      </c>
      <c r="D22" s="129">
        <f>D21-D23</f>
        <v>0.29799999999999999</v>
      </c>
      <c r="E22" s="323" t="s">
        <v>118</v>
      </c>
    </row>
    <row r="23" spans="1:8" ht="39" customHeight="1" x14ac:dyDescent="0.3">
      <c r="A23" s="319" t="s">
        <v>27</v>
      </c>
      <c r="B23" s="121" t="s">
        <v>213</v>
      </c>
      <c r="C23" s="323" t="s">
        <v>209</v>
      </c>
      <c r="D23" s="129">
        <v>2E-3</v>
      </c>
      <c r="E23" s="117" t="s">
        <v>118</v>
      </c>
    </row>
    <row r="24" spans="1:8" x14ac:dyDescent="0.3">
      <c r="A24" s="319" t="s">
        <v>214</v>
      </c>
      <c r="B24" s="121" t="s">
        <v>215</v>
      </c>
      <c r="C24" s="117"/>
      <c r="D24" s="122"/>
      <c r="E24" s="323"/>
    </row>
    <row r="25" spans="1:8" ht="48.75" customHeight="1" x14ac:dyDescent="0.3">
      <c r="A25" s="319" t="s">
        <v>35</v>
      </c>
      <c r="B25" s="121" t="s">
        <v>253</v>
      </c>
      <c r="C25" s="323" t="s">
        <v>209</v>
      </c>
      <c r="D25" s="129">
        <v>0.82</v>
      </c>
      <c r="E25" s="158" t="s">
        <v>118</v>
      </c>
    </row>
    <row r="26" spans="1:8" ht="52.5" customHeight="1" x14ac:dyDescent="0.3">
      <c r="A26" s="319" t="s">
        <v>45</v>
      </c>
      <c r="B26" s="121" t="s">
        <v>254</v>
      </c>
      <c r="C26" s="323" t="s">
        <v>209</v>
      </c>
      <c r="D26" s="129">
        <v>0.13</v>
      </c>
      <c r="E26" s="323" t="s">
        <v>118</v>
      </c>
    </row>
    <row r="27" spans="1:8" ht="24" customHeight="1" x14ac:dyDescent="0.3">
      <c r="A27" s="319" t="s">
        <v>216</v>
      </c>
      <c r="B27" s="119" t="s">
        <v>255</v>
      </c>
      <c r="C27" s="323" t="s">
        <v>217</v>
      </c>
      <c r="D27" s="117" t="s">
        <v>118</v>
      </c>
      <c r="E27" s="323" t="s">
        <v>118</v>
      </c>
    </row>
    <row r="28" spans="1:8" ht="24" customHeight="1" x14ac:dyDescent="0.3">
      <c r="A28" s="123">
        <v>5</v>
      </c>
      <c r="B28" s="119" t="s">
        <v>256</v>
      </c>
      <c r="C28" s="323" t="s">
        <v>209</v>
      </c>
      <c r="D28" s="117" t="s">
        <v>118</v>
      </c>
      <c r="E28" s="323" t="s">
        <v>118</v>
      </c>
    </row>
    <row r="29" spans="1:8" ht="21" customHeight="1" x14ac:dyDescent="0.3">
      <c r="A29" s="124"/>
      <c r="B29" s="124"/>
      <c r="C29" s="125"/>
      <c r="D29" s="124"/>
      <c r="E29" s="126"/>
    </row>
    <row r="30" spans="1:8" ht="54" customHeight="1" x14ac:dyDescent="0.3">
      <c r="A30" s="201"/>
      <c r="B30" s="201"/>
      <c r="C30" s="201"/>
      <c r="D30" s="413" t="s">
        <v>366</v>
      </c>
      <c r="E30" s="413"/>
      <c r="F30" s="217"/>
      <c r="G30" s="218"/>
      <c r="H30" s="218"/>
    </row>
    <row r="31" spans="1:8" ht="49.95" customHeight="1" x14ac:dyDescent="0.35">
      <c r="A31" s="159"/>
      <c r="B31" s="159"/>
      <c r="C31" s="127"/>
      <c r="D31" s="200" t="s">
        <v>245</v>
      </c>
      <c r="E31" s="192" t="s">
        <v>368</v>
      </c>
      <c r="F31" s="219"/>
      <c r="G31" s="217"/>
    </row>
    <row r="32" spans="1:8" ht="16.5" customHeight="1" x14ac:dyDescent="0.3">
      <c r="A32" s="60"/>
      <c r="B32" s="60"/>
      <c r="C32" s="159"/>
      <c r="D32" s="194" t="s">
        <v>231</v>
      </c>
      <c r="E32" s="195"/>
      <c r="F32" s="220"/>
      <c r="G32" s="221"/>
    </row>
    <row r="33" spans="1:7" ht="33" customHeight="1" x14ac:dyDescent="0.35">
      <c r="A33" s="60"/>
      <c r="B33" s="318"/>
      <c r="C33" s="318"/>
      <c r="D33" s="197" t="s">
        <v>232</v>
      </c>
      <c r="E33" s="197"/>
      <c r="F33" s="223"/>
      <c r="G33" s="221"/>
    </row>
    <row r="34" spans="1:7" ht="38.25" customHeight="1" x14ac:dyDescent="0.3">
      <c r="A34" s="442" t="s">
        <v>115</v>
      </c>
      <c r="B34" s="442"/>
      <c r="C34" s="442"/>
      <c r="D34" s="442"/>
      <c r="E34" s="442"/>
      <c r="F34" s="221"/>
      <c r="G34" s="221"/>
    </row>
    <row r="35" spans="1:7" ht="33" customHeight="1" x14ac:dyDescent="0.3">
      <c r="A35" s="60"/>
      <c r="B35" s="443" t="s">
        <v>218</v>
      </c>
      <c r="C35" s="443"/>
      <c r="D35" s="443"/>
      <c r="E35" s="109"/>
      <c r="F35" s="221"/>
      <c r="G35" s="221"/>
    </row>
    <row r="36" spans="1:7" ht="11.25" customHeight="1" x14ac:dyDescent="0.3">
      <c r="B36" s="222"/>
      <c r="C36" s="224"/>
      <c r="D36" s="221"/>
      <c r="E36" s="225"/>
      <c r="F36" s="221"/>
      <c r="G36" s="221"/>
    </row>
    <row r="37" spans="1:7" x14ac:dyDescent="0.3">
      <c r="B37" s="222"/>
      <c r="C37" s="224"/>
      <c r="D37" s="221"/>
      <c r="E37" s="225"/>
      <c r="F37" s="221"/>
      <c r="G37" s="221"/>
    </row>
    <row r="38" spans="1:7" x14ac:dyDescent="0.3">
      <c r="E38" s="226"/>
      <c r="F38" s="227"/>
      <c r="G38" s="227"/>
    </row>
  </sheetData>
  <mergeCells count="10">
    <mergeCell ref="D30:E30"/>
    <mergeCell ref="A34:E34"/>
    <mergeCell ref="B35:D35"/>
    <mergeCell ref="D1:E1"/>
    <mergeCell ref="A5:B5"/>
    <mergeCell ref="D5:E5"/>
    <mergeCell ref="A9:E9"/>
    <mergeCell ref="C13:C14"/>
    <mergeCell ref="A19:A20"/>
    <mergeCell ref="B19:B20"/>
  </mergeCells>
  <pageMargins left="0.39370078740157483" right="0.31496062992125984" top="0.78740157480314965" bottom="0.39370078740157483" header="0.19685039370078741" footer="0.19685039370078741"/>
  <pageSetup paperSize="9" scale="66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28"/>
  <sheetViews>
    <sheetView workbookViewId="0">
      <selection activeCell="I19" sqref="I19"/>
    </sheetView>
  </sheetViews>
  <sheetFormatPr defaultColWidth="9.109375" defaultRowHeight="13.8" x14ac:dyDescent="0.3"/>
  <cols>
    <col min="1" max="1" width="4" style="285" customWidth="1"/>
    <col min="2" max="2" width="31" style="285" bestFit="1" customWidth="1"/>
    <col min="3" max="3" width="8" style="285" customWidth="1"/>
    <col min="4" max="4" width="9.33203125" style="285" customWidth="1"/>
    <col min="5" max="5" width="6" style="285" bestFit="1" customWidth="1"/>
    <col min="6" max="6" width="7" style="285" customWidth="1"/>
    <col min="7" max="7" width="17.44140625" style="285" customWidth="1"/>
    <col min="8" max="8" width="7.6640625" style="285" customWidth="1"/>
    <col min="9" max="9" width="9.88671875" style="285" customWidth="1"/>
    <col min="10" max="10" width="6" style="285" bestFit="1" customWidth="1"/>
    <col min="11" max="11" width="7.6640625" style="285" customWidth="1"/>
    <col min="12" max="12" width="16.6640625" style="285" customWidth="1"/>
    <col min="13" max="13" width="7.6640625" style="285" hidden="1" customWidth="1"/>
    <col min="14" max="14" width="8.44140625" style="285" hidden="1" customWidth="1"/>
    <col min="15" max="15" width="8" style="285" hidden="1" customWidth="1"/>
    <col min="16" max="16" width="7.44140625" style="285" hidden="1" customWidth="1"/>
    <col min="17" max="17" width="16.88671875" style="285" hidden="1" customWidth="1"/>
    <col min="18" max="18" width="8" style="162" customWidth="1"/>
    <col min="19" max="19" width="9.109375" style="162" customWidth="1"/>
    <col min="20" max="20" width="6" style="162" bestFit="1" customWidth="1"/>
    <col min="21" max="21" width="13.33203125" style="162" customWidth="1"/>
    <col min="22" max="22" width="18.5546875" style="162" customWidth="1"/>
    <col min="23" max="23" width="8" style="162" customWidth="1"/>
    <col min="24" max="24" width="9.109375" style="162" customWidth="1"/>
    <col min="25" max="25" width="6" style="162" bestFit="1" customWidth="1"/>
    <col min="26" max="26" width="13.33203125" style="162" customWidth="1"/>
    <col min="27" max="27" width="18.5546875" style="162" customWidth="1"/>
    <col min="28" max="28" width="8" style="162" customWidth="1"/>
    <col min="29" max="29" width="9.109375" style="162" customWidth="1"/>
    <col min="30" max="30" width="6" style="162" bestFit="1" customWidth="1"/>
    <col min="31" max="31" width="13.33203125" style="162" customWidth="1"/>
    <col min="32" max="32" width="18.5546875" style="162" customWidth="1"/>
    <col min="33" max="33" width="8" style="162" customWidth="1"/>
    <col min="34" max="34" width="11.109375" style="162" customWidth="1"/>
    <col min="35" max="35" width="6" style="162" bestFit="1" customWidth="1"/>
    <col min="36" max="36" width="13.33203125" style="162" customWidth="1"/>
    <col min="37" max="37" width="18.5546875" style="162" customWidth="1"/>
    <col min="38" max="38" width="6.88671875" style="162" hidden="1" customWidth="1"/>
    <col min="39" max="39" width="9.109375" style="162" hidden="1" customWidth="1"/>
    <col min="40" max="40" width="12.6640625" style="162" hidden="1" customWidth="1"/>
    <col min="41" max="41" width="13.33203125" style="162" hidden="1" customWidth="1"/>
    <col min="42" max="42" width="18.5546875" style="162" hidden="1" customWidth="1"/>
    <col min="43" max="16384" width="9.109375" style="162"/>
  </cols>
  <sheetData>
    <row r="1" spans="1:42" ht="15.6" x14ac:dyDescent="0.3">
      <c r="V1" s="163"/>
      <c r="AA1" s="163"/>
      <c r="AF1" s="163"/>
      <c r="AK1" s="163" t="s">
        <v>263</v>
      </c>
    </row>
    <row r="3" spans="1:42" ht="15.6" x14ac:dyDescent="0.3">
      <c r="A3" s="451" t="s">
        <v>264</v>
      </c>
      <c r="B3" s="451"/>
      <c r="C3" s="451"/>
      <c r="D3" s="451"/>
      <c r="E3" s="451"/>
      <c r="F3" s="451"/>
      <c r="G3" s="451"/>
      <c r="H3" s="451"/>
      <c r="I3" s="451"/>
      <c r="J3" s="451"/>
      <c r="K3" s="451"/>
      <c r="L3" s="451"/>
      <c r="M3" s="451"/>
      <c r="N3" s="451"/>
      <c r="O3" s="451"/>
      <c r="P3" s="451"/>
      <c r="Q3" s="451"/>
      <c r="R3" s="451"/>
      <c r="S3" s="451"/>
      <c r="T3" s="451"/>
      <c r="U3" s="451"/>
      <c r="V3" s="451"/>
      <c r="W3" s="451"/>
      <c r="X3" s="451"/>
      <c r="Y3" s="451"/>
      <c r="Z3" s="451"/>
      <c r="AA3" s="451"/>
      <c r="AB3" s="451"/>
      <c r="AC3" s="451"/>
      <c r="AD3" s="451"/>
      <c r="AE3" s="451"/>
      <c r="AF3" s="451"/>
      <c r="AG3" s="451"/>
      <c r="AH3" s="451"/>
      <c r="AI3" s="451"/>
      <c r="AJ3" s="451"/>
      <c r="AK3" s="451"/>
      <c r="AL3" s="451"/>
      <c r="AM3" s="451"/>
      <c r="AN3" s="451"/>
      <c r="AO3" s="451"/>
      <c r="AP3" s="451"/>
    </row>
    <row r="5" spans="1:42" ht="14.4" x14ac:dyDescent="0.3">
      <c r="A5" s="452" t="s">
        <v>166</v>
      </c>
      <c r="B5" s="452" t="s">
        <v>265</v>
      </c>
      <c r="C5" s="455" t="s">
        <v>351</v>
      </c>
      <c r="D5" s="455"/>
      <c r="E5" s="455"/>
      <c r="F5" s="455"/>
      <c r="G5" s="455"/>
      <c r="H5" s="456"/>
      <c r="I5" s="456"/>
      <c r="J5" s="456"/>
      <c r="K5" s="456"/>
      <c r="L5" s="456"/>
      <c r="M5" s="457" t="s">
        <v>280</v>
      </c>
      <c r="N5" s="458"/>
      <c r="O5" s="458"/>
      <c r="P5" s="458"/>
      <c r="Q5" s="459"/>
      <c r="R5" s="457" t="s">
        <v>305</v>
      </c>
      <c r="S5" s="458"/>
      <c r="T5" s="458"/>
      <c r="U5" s="458"/>
      <c r="V5" s="459"/>
      <c r="W5" s="457" t="s">
        <v>309</v>
      </c>
      <c r="X5" s="458"/>
      <c r="Y5" s="458"/>
      <c r="Z5" s="458"/>
      <c r="AA5" s="459"/>
      <c r="AB5" s="457" t="s">
        <v>352</v>
      </c>
      <c r="AC5" s="458"/>
      <c r="AD5" s="458"/>
      <c r="AE5" s="458"/>
      <c r="AF5" s="459"/>
      <c r="AG5" s="457" t="s">
        <v>353</v>
      </c>
      <c r="AH5" s="458"/>
      <c r="AI5" s="458"/>
      <c r="AJ5" s="458"/>
      <c r="AK5" s="459"/>
      <c r="AL5" s="457" t="s">
        <v>298</v>
      </c>
      <c r="AM5" s="458"/>
      <c r="AN5" s="458"/>
      <c r="AO5" s="458"/>
      <c r="AP5" s="459"/>
    </row>
    <row r="6" spans="1:42" x14ac:dyDescent="0.3">
      <c r="A6" s="453"/>
      <c r="B6" s="453"/>
      <c r="C6" s="455" t="s">
        <v>266</v>
      </c>
      <c r="D6" s="455"/>
      <c r="E6" s="455"/>
      <c r="F6" s="455"/>
      <c r="G6" s="455"/>
      <c r="H6" s="455" t="s">
        <v>267</v>
      </c>
      <c r="I6" s="455"/>
      <c r="J6" s="455"/>
      <c r="K6" s="455"/>
      <c r="L6" s="455"/>
      <c r="M6" s="460"/>
      <c r="N6" s="461"/>
      <c r="O6" s="461"/>
      <c r="P6" s="461"/>
      <c r="Q6" s="462"/>
      <c r="R6" s="460"/>
      <c r="S6" s="461"/>
      <c r="T6" s="461"/>
      <c r="U6" s="461"/>
      <c r="V6" s="462"/>
      <c r="W6" s="460"/>
      <c r="X6" s="461"/>
      <c r="Y6" s="461"/>
      <c r="Z6" s="461"/>
      <c r="AA6" s="462"/>
      <c r="AB6" s="460"/>
      <c r="AC6" s="461"/>
      <c r="AD6" s="461"/>
      <c r="AE6" s="461"/>
      <c r="AF6" s="462"/>
      <c r="AG6" s="460"/>
      <c r="AH6" s="461"/>
      <c r="AI6" s="461"/>
      <c r="AJ6" s="461"/>
      <c r="AK6" s="462"/>
      <c r="AL6" s="460"/>
      <c r="AM6" s="461"/>
      <c r="AN6" s="461"/>
      <c r="AO6" s="461"/>
      <c r="AP6" s="462"/>
    </row>
    <row r="7" spans="1:42" ht="174.75" customHeight="1" x14ac:dyDescent="0.3">
      <c r="A7" s="454"/>
      <c r="B7" s="454"/>
      <c r="C7" s="164" t="s">
        <v>281</v>
      </c>
      <c r="D7" s="164" t="s">
        <v>268</v>
      </c>
      <c r="E7" s="164" t="s">
        <v>269</v>
      </c>
      <c r="F7" s="164" t="s">
        <v>270</v>
      </c>
      <c r="G7" s="158" t="s">
        <v>282</v>
      </c>
      <c r="H7" s="164" t="s">
        <v>281</v>
      </c>
      <c r="I7" s="164" t="s">
        <v>271</v>
      </c>
      <c r="J7" s="164" t="s">
        <v>269</v>
      </c>
      <c r="K7" s="164" t="s">
        <v>272</v>
      </c>
      <c r="L7" s="158" t="s">
        <v>283</v>
      </c>
      <c r="M7" s="164" t="s">
        <v>281</v>
      </c>
      <c r="N7" s="164" t="s">
        <v>271</v>
      </c>
      <c r="O7" s="164" t="s">
        <v>269</v>
      </c>
      <c r="P7" s="164" t="s">
        <v>273</v>
      </c>
      <c r="Q7" s="158" t="s">
        <v>284</v>
      </c>
      <c r="R7" s="164" t="s">
        <v>281</v>
      </c>
      <c r="S7" s="164" t="s">
        <v>274</v>
      </c>
      <c r="T7" s="164" t="s">
        <v>269</v>
      </c>
      <c r="U7" s="164" t="s">
        <v>273</v>
      </c>
      <c r="V7" s="158" t="s">
        <v>285</v>
      </c>
      <c r="W7" s="164" t="s">
        <v>281</v>
      </c>
      <c r="X7" s="164" t="s">
        <v>274</v>
      </c>
      <c r="Y7" s="164" t="s">
        <v>269</v>
      </c>
      <c r="Z7" s="164" t="s">
        <v>275</v>
      </c>
      <c r="AA7" s="158" t="s">
        <v>285</v>
      </c>
      <c r="AB7" s="164" t="s">
        <v>281</v>
      </c>
      <c r="AC7" s="164" t="s">
        <v>274</v>
      </c>
      <c r="AD7" s="164" t="s">
        <v>269</v>
      </c>
      <c r="AE7" s="164" t="s">
        <v>297</v>
      </c>
      <c r="AF7" s="158" t="s">
        <v>285</v>
      </c>
      <c r="AG7" s="164" t="s">
        <v>281</v>
      </c>
      <c r="AH7" s="164" t="s">
        <v>274</v>
      </c>
      <c r="AI7" s="164" t="s">
        <v>269</v>
      </c>
      <c r="AJ7" s="164" t="s">
        <v>361</v>
      </c>
      <c r="AK7" s="158" t="s">
        <v>285</v>
      </c>
      <c r="AL7" s="164" t="s">
        <v>281</v>
      </c>
      <c r="AM7" s="164" t="s">
        <v>274</v>
      </c>
      <c r="AN7" s="164" t="s">
        <v>269</v>
      </c>
      <c r="AO7" s="164" t="s">
        <v>275</v>
      </c>
      <c r="AP7" s="158" t="s">
        <v>285</v>
      </c>
    </row>
    <row r="8" spans="1:42" ht="15" x14ac:dyDescent="0.25">
      <c r="A8" s="117">
        <v>1</v>
      </c>
      <c r="B8" s="117">
        <v>2</v>
      </c>
      <c r="C8" s="117">
        <v>3</v>
      </c>
      <c r="D8" s="117">
        <v>4</v>
      </c>
      <c r="E8" s="117">
        <v>5</v>
      </c>
      <c r="F8" s="117">
        <v>6</v>
      </c>
      <c r="G8" s="286">
        <v>7</v>
      </c>
      <c r="H8" s="117">
        <v>8</v>
      </c>
      <c r="I8" s="117">
        <v>9</v>
      </c>
      <c r="J8" s="117">
        <v>10</v>
      </c>
      <c r="K8" s="117">
        <v>11</v>
      </c>
      <c r="L8" s="117">
        <v>12</v>
      </c>
      <c r="M8" s="117">
        <v>13</v>
      </c>
      <c r="N8" s="117">
        <v>14</v>
      </c>
      <c r="O8" s="117">
        <v>15</v>
      </c>
      <c r="P8" s="117">
        <v>16</v>
      </c>
      <c r="Q8" s="117">
        <v>17</v>
      </c>
      <c r="R8" s="117">
        <v>13</v>
      </c>
      <c r="S8" s="117">
        <v>14</v>
      </c>
      <c r="T8" s="117">
        <v>15</v>
      </c>
      <c r="U8" s="117">
        <v>16</v>
      </c>
      <c r="V8" s="323">
        <v>17</v>
      </c>
      <c r="W8" s="117">
        <v>18</v>
      </c>
      <c r="X8" s="117">
        <v>19</v>
      </c>
      <c r="Y8" s="117">
        <v>20</v>
      </c>
      <c r="Z8" s="117">
        <v>21</v>
      </c>
      <c r="AA8" s="323">
        <v>22</v>
      </c>
      <c r="AB8" s="117">
        <v>23</v>
      </c>
      <c r="AC8" s="117">
        <v>24</v>
      </c>
      <c r="AD8" s="117">
        <v>25</v>
      </c>
      <c r="AE8" s="117">
        <v>26</v>
      </c>
      <c r="AF8" s="286">
        <v>27</v>
      </c>
      <c r="AG8" s="117">
        <v>28</v>
      </c>
      <c r="AH8" s="117">
        <v>29</v>
      </c>
      <c r="AI8" s="117">
        <v>30</v>
      </c>
      <c r="AJ8" s="117">
        <v>31</v>
      </c>
      <c r="AK8" s="286">
        <v>32</v>
      </c>
      <c r="AL8" s="117">
        <v>18</v>
      </c>
      <c r="AM8" s="117">
        <v>19</v>
      </c>
      <c r="AN8" s="117">
        <v>20</v>
      </c>
      <c r="AO8" s="117">
        <v>21</v>
      </c>
      <c r="AP8" s="286">
        <v>22</v>
      </c>
    </row>
    <row r="9" spans="1:42" x14ac:dyDescent="0.3">
      <c r="A9" s="165">
        <v>1</v>
      </c>
      <c r="B9" s="177" t="s">
        <v>357</v>
      </c>
      <c r="C9" s="168">
        <f>'Бизнес-план 18 190117'!D25+'Бизнес-план 18 190117'!E25</f>
        <v>4520</v>
      </c>
      <c r="D9" s="168">
        <f>'Бизнес-план 18 190117'!D1</f>
        <v>530</v>
      </c>
      <c r="E9" s="168">
        <v>1</v>
      </c>
      <c r="F9" s="168">
        <f>C9*E9</f>
        <v>4520</v>
      </c>
      <c r="G9" s="168">
        <f>'Бизнес-план 18 190117'!D6+'Бизнес-план 18 190117'!E6</f>
        <v>2416161</v>
      </c>
      <c r="H9" s="166" t="s">
        <v>118</v>
      </c>
      <c r="I9" s="165" t="s">
        <v>118</v>
      </c>
      <c r="J9" s="168" t="s">
        <v>118</v>
      </c>
      <c r="K9" s="167" t="s">
        <v>118</v>
      </c>
      <c r="L9" s="167" t="s">
        <v>118</v>
      </c>
      <c r="M9" s="168" t="s">
        <v>118</v>
      </c>
      <c r="N9" s="167" t="s">
        <v>118</v>
      </c>
      <c r="O9" s="168" t="s">
        <v>118</v>
      </c>
      <c r="P9" s="168" t="s">
        <v>118</v>
      </c>
      <c r="Q9" s="168" t="s">
        <v>118</v>
      </c>
      <c r="R9" s="168">
        <f>'Бизнес-план 19 190117'!E25+'Бизнес-план 19 190117'!F25</f>
        <v>4440</v>
      </c>
      <c r="S9" s="167">
        <f>'Бизнес-план 19 190117'!E1</f>
        <v>558.36</v>
      </c>
      <c r="T9" s="168">
        <v>1</v>
      </c>
      <c r="U9" s="168">
        <f t="shared" ref="U9:U14" si="0">R9*T9</f>
        <v>4440</v>
      </c>
      <c r="V9" s="168">
        <f>'Бизнес-план 19 190117'!E6+'Бизнес-план 19 190117'!F6</f>
        <v>2652639</v>
      </c>
      <c r="W9" s="168">
        <f>'Бизнес-план 20 190117'!D25+'Бизнес-план 20 190117'!E25</f>
        <v>2970</v>
      </c>
      <c r="X9" s="167">
        <f>'Бизнес-план 20 190117'!E1</f>
        <v>589.4</v>
      </c>
      <c r="Y9" s="168">
        <v>1</v>
      </c>
      <c r="Z9" s="168">
        <f>W9*Y9</f>
        <v>2970</v>
      </c>
      <c r="AA9" s="168">
        <f>'Бизнес-план 20 190117'!D6+'Бизнес-план 20 190117'!E6</f>
        <v>1873070</v>
      </c>
      <c r="AB9" s="168" t="s">
        <v>118</v>
      </c>
      <c r="AC9" s="167" t="s">
        <v>118</v>
      </c>
      <c r="AD9" s="168" t="s">
        <v>118</v>
      </c>
      <c r="AE9" s="168" t="s">
        <v>118</v>
      </c>
      <c r="AF9" s="168" t="s">
        <v>118</v>
      </c>
      <c r="AG9" s="168" t="s">
        <v>118</v>
      </c>
      <c r="AH9" s="167" t="s">
        <v>118</v>
      </c>
      <c r="AI9" s="168" t="s">
        <v>118</v>
      </c>
      <c r="AJ9" s="168" t="s">
        <v>118</v>
      </c>
      <c r="AK9" s="168" t="s">
        <v>118</v>
      </c>
      <c r="AL9" s="168" t="s">
        <v>118</v>
      </c>
      <c r="AM9" s="167" t="s">
        <v>118</v>
      </c>
      <c r="AN9" s="168" t="s">
        <v>118</v>
      </c>
      <c r="AO9" s="168" t="s">
        <v>118</v>
      </c>
      <c r="AP9" s="168" t="s">
        <v>118</v>
      </c>
    </row>
    <row r="10" spans="1:42" x14ac:dyDescent="0.3">
      <c r="A10" s="165">
        <v>2</v>
      </c>
      <c r="B10" s="178" t="s">
        <v>354</v>
      </c>
      <c r="C10" s="168">
        <f>'Бизнес-план 18 190117'!G25</f>
        <v>3780</v>
      </c>
      <c r="D10" s="168">
        <f>'Бизнес-план 18 190117'!G1</f>
        <v>530</v>
      </c>
      <c r="E10" s="168">
        <v>1</v>
      </c>
      <c r="F10" s="168">
        <f>C10*E10</f>
        <v>3780</v>
      </c>
      <c r="G10" s="168">
        <f>'Бизнес-план 18 190117'!G6</f>
        <v>2143638</v>
      </c>
      <c r="H10" s="166" t="s">
        <v>118</v>
      </c>
      <c r="I10" s="165" t="s">
        <v>118</v>
      </c>
      <c r="J10" s="168" t="s">
        <v>118</v>
      </c>
      <c r="K10" s="167" t="s">
        <v>118</v>
      </c>
      <c r="L10" s="167" t="s">
        <v>118</v>
      </c>
      <c r="M10" s="168">
        <f>('[1]Бизнес-план на 2018'!D25+'[1]Бизнес-план на 2018'!G25+'[1]Бизнес-план на 2018'!H25)/3</f>
        <v>4003</v>
      </c>
      <c r="N10" s="167">
        <v>530</v>
      </c>
      <c r="O10" s="168">
        <v>3</v>
      </c>
      <c r="P10" s="168">
        <f>M10*O10+1</f>
        <v>12010</v>
      </c>
      <c r="Q10" s="168">
        <f>'[1]Бизнес-план на 2018'!D6+'[1]Бизнес-план на 2018'!G6+'[1]Бизнес-план на 2018'!H6</f>
        <v>6804765</v>
      </c>
      <c r="R10" s="168">
        <f>'Бизнес-план 19 190117'!H25</f>
        <v>3310</v>
      </c>
      <c r="S10" s="167">
        <f>'Бизнес-план 19 190117'!H1</f>
        <v>535.78</v>
      </c>
      <c r="T10" s="168">
        <v>1</v>
      </c>
      <c r="U10" s="168">
        <f t="shared" si="0"/>
        <v>3310</v>
      </c>
      <c r="V10" s="168">
        <f>'Бизнес-план 19 190117'!H6</f>
        <v>1897561</v>
      </c>
      <c r="W10" s="168" t="s">
        <v>118</v>
      </c>
      <c r="X10" s="167" t="s">
        <v>118</v>
      </c>
      <c r="Y10" s="168" t="s">
        <v>118</v>
      </c>
      <c r="Z10" s="168" t="s">
        <v>118</v>
      </c>
      <c r="AA10" s="168" t="s">
        <v>118</v>
      </c>
      <c r="AB10" s="168" t="s">
        <v>118</v>
      </c>
      <c r="AC10" s="167" t="s">
        <v>118</v>
      </c>
      <c r="AD10" s="168" t="s">
        <v>118</v>
      </c>
      <c r="AE10" s="168" t="s">
        <v>118</v>
      </c>
      <c r="AF10" s="168" t="s">
        <v>118</v>
      </c>
      <c r="AG10" s="168" t="s">
        <v>118</v>
      </c>
      <c r="AH10" s="167" t="s">
        <v>118</v>
      </c>
      <c r="AI10" s="168" t="s">
        <v>118</v>
      </c>
      <c r="AJ10" s="168" t="s">
        <v>118</v>
      </c>
      <c r="AK10" s="168" t="s">
        <v>118</v>
      </c>
      <c r="AL10" s="168">
        <f>('[1]Бизнес-план на 2019'!F25+'[1]Бизнес-план на 2019'!G25+'[1]Бизнес-план на 2019'!H25)/3</f>
        <v>4903</v>
      </c>
      <c r="AM10" s="167">
        <f>'[1]Бизнес-план на 2019'!F1</f>
        <v>557.98</v>
      </c>
      <c r="AN10" s="168">
        <v>3</v>
      </c>
      <c r="AO10" s="168">
        <f>AL10*AN10+1</f>
        <v>14710</v>
      </c>
      <c r="AP10" s="168">
        <f>'[1]Бизнес-план на 2019'!F6+'[1]Бизнес-план на 2019'!G6+'[1]Бизнес-план на 2019'!H6</f>
        <v>8782465</v>
      </c>
    </row>
    <row r="11" spans="1:42" x14ac:dyDescent="0.3">
      <c r="A11" s="165">
        <v>3</v>
      </c>
      <c r="B11" s="177" t="s">
        <v>355</v>
      </c>
      <c r="C11" s="168">
        <f>'Бизнес-план 18 190117'!H25</f>
        <v>4044</v>
      </c>
      <c r="D11" s="168">
        <f>'Бизнес-план 18 190117'!H1</f>
        <v>530</v>
      </c>
      <c r="E11" s="168">
        <v>1</v>
      </c>
      <c r="F11" s="168">
        <f>C11*E11</f>
        <v>4044</v>
      </c>
      <c r="G11" s="168">
        <f>'Бизнес-план 18 190117'!H6</f>
        <v>2288546</v>
      </c>
      <c r="H11" s="166" t="s">
        <v>118</v>
      </c>
      <c r="I11" s="165" t="s">
        <v>118</v>
      </c>
      <c r="J11" s="168" t="s">
        <v>118</v>
      </c>
      <c r="K11" s="167" t="s">
        <v>118</v>
      </c>
      <c r="L11" s="167" t="s">
        <v>118</v>
      </c>
      <c r="M11" s="168" t="s">
        <v>118</v>
      </c>
      <c r="N11" s="167" t="s">
        <v>118</v>
      </c>
      <c r="O11" s="168" t="s">
        <v>118</v>
      </c>
      <c r="P11" s="168" t="s">
        <v>118</v>
      </c>
      <c r="Q11" s="168" t="s">
        <v>118</v>
      </c>
      <c r="R11" s="168">
        <f>'Бизнес-план 19 190117'!I25</f>
        <v>2860</v>
      </c>
      <c r="S11" s="167">
        <f>'Бизнес-план 19 190117'!I1</f>
        <v>535.78</v>
      </c>
      <c r="T11" s="168">
        <v>1</v>
      </c>
      <c r="U11" s="168">
        <f t="shared" si="0"/>
        <v>2860</v>
      </c>
      <c r="V11" s="168">
        <f>'Бизнес-план 19 190117'!I6</f>
        <v>1639585</v>
      </c>
      <c r="W11" s="168" t="s">
        <v>118</v>
      </c>
      <c r="X11" s="167" t="s">
        <v>118</v>
      </c>
      <c r="Y11" s="168" t="s">
        <v>118</v>
      </c>
      <c r="Z11" s="168" t="s">
        <v>118</v>
      </c>
      <c r="AA11" s="168" t="s">
        <v>118</v>
      </c>
      <c r="AB11" s="168" t="s">
        <v>118</v>
      </c>
      <c r="AC11" s="167" t="s">
        <v>118</v>
      </c>
      <c r="AD11" s="168" t="s">
        <v>118</v>
      </c>
      <c r="AE11" s="168" t="s">
        <v>118</v>
      </c>
      <c r="AF11" s="168" t="s">
        <v>118</v>
      </c>
      <c r="AG11" s="168" t="s">
        <v>118</v>
      </c>
      <c r="AH11" s="167" t="s">
        <v>118</v>
      </c>
      <c r="AI11" s="168" t="s">
        <v>118</v>
      </c>
      <c r="AJ11" s="168" t="s">
        <v>118</v>
      </c>
      <c r="AK11" s="168" t="s">
        <v>118</v>
      </c>
      <c r="AL11" s="168" t="s">
        <v>118</v>
      </c>
      <c r="AM11" s="167" t="s">
        <v>118</v>
      </c>
      <c r="AN11" s="168" t="s">
        <v>118</v>
      </c>
      <c r="AO11" s="168" t="s">
        <v>118</v>
      </c>
      <c r="AP11" s="168" t="s">
        <v>118</v>
      </c>
    </row>
    <row r="12" spans="1:42" x14ac:dyDescent="0.3">
      <c r="A12" s="165">
        <v>4</v>
      </c>
      <c r="B12" s="177" t="s">
        <v>358</v>
      </c>
      <c r="C12" s="168" t="str">
        <f t="shared" ref="C12" si="1">H12</f>
        <v>-</v>
      </c>
      <c r="D12" s="168" t="str">
        <f t="shared" ref="D12" si="2">I12</f>
        <v>-</v>
      </c>
      <c r="E12" s="168" t="s">
        <v>118</v>
      </c>
      <c r="F12" s="168" t="str">
        <f t="shared" ref="F12" si="3">K12</f>
        <v>-</v>
      </c>
      <c r="G12" s="168" t="str">
        <f t="shared" ref="G12" si="4">L12</f>
        <v>-</v>
      </c>
      <c r="H12" s="166" t="s">
        <v>118</v>
      </c>
      <c r="I12" s="165" t="s">
        <v>118</v>
      </c>
      <c r="J12" s="168" t="s">
        <v>118</v>
      </c>
      <c r="K12" s="167" t="s">
        <v>118</v>
      </c>
      <c r="L12" s="167" t="s">
        <v>118</v>
      </c>
      <c r="M12" s="168" t="s">
        <v>118</v>
      </c>
      <c r="N12" s="167" t="s">
        <v>118</v>
      </c>
      <c r="O12" s="168" t="s">
        <v>118</v>
      </c>
      <c r="P12" s="168" t="s">
        <v>118</v>
      </c>
      <c r="Q12" s="168" t="s">
        <v>118</v>
      </c>
      <c r="R12" s="168">
        <f>'Бизнес-план 19 190117'!J25</f>
        <v>8740</v>
      </c>
      <c r="S12" s="167">
        <f>'Бизнес-план 19 190117'!J1</f>
        <v>558.36</v>
      </c>
      <c r="T12" s="168">
        <v>1</v>
      </c>
      <c r="U12" s="168">
        <f t="shared" si="0"/>
        <v>8740</v>
      </c>
      <c r="V12" s="168">
        <f>'Бизнес-план 19 190117'!J6</f>
        <v>5221671</v>
      </c>
      <c r="W12" s="168">
        <f>'Бизнес-план 20 190117'!G25+'Бизнес-план 20 190117'!H25</f>
        <v>13660</v>
      </c>
      <c r="X12" s="167">
        <f>('Бизнес-план 20 190117'!G7+'Бизнес-план 20 190117'!H7)/('Бизнес-план 20 190117'!G25+'Бизнес-план 20 190117'!H25)</f>
        <v>575.46</v>
      </c>
      <c r="Y12" s="168">
        <v>1</v>
      </c>
      <c r="Z12" s="168">
        <f>W12*Y12</f>
        <v>13660</v>
      </c>
      <c r="AA12" s="168">
        <f>'Бизнес-план 20 190117'!H6+'Бизнес-план 20 190117'!G6</f>
        <v>8411016</v>
      </c>
      <c r="AB12" s="168">
        <f>'Бизнес-план 21 190117'!D25</f>
        <v>25660</v>
      </c>
      <c r="AC12" s="167">
        <f>'Бизнес-план 21 190117'!D1</f>
        <v>593.35</v>
      </c>
      <c r="AD12" s="168">
        <v>1</v>
      </c>
      <c r="AE12" s="168">
        <f>AB12*AD12</f>
        <v>25660</v>
      </c>
      <c r="AF12" s="168">
        <f>'Бизнес-план 21 190117'!D6</f>
        <v>16291241</v>
      </c>
      <c r="AG12" s="168">
        <f>'Бизнес-план 22 190117'!D25+'Бизнес-план 22 190117'!F25</f>
        <v>9475</v>
      </c>
      <c r="AH12" s="167">
        <f>('Бизнес-план 22 190117'!D7+'Бизнес-план 22 190117'!F7)/('Бизнес-план 22 190117'!D25+'Бизнес-план 22 190117'!F25)</f>
        <v>637.75</v>
      </c>
      <c r="AI12" s="168">
        <v>1</v>
      </c>
      <c r="AJ12" s="168">
        <f>AG12*AI12</f>
        <v>9475</v>
      </c>
      <c r="AK12" s="168">
        <f>'Бизнес-план 22 190117'!D6+'Бизнес-план 22 190117'!F6</f>
        <v>6465635</v>
      </c>
      <c r="AL12" s="168" t="s">
        <v>118</v>
      </c>
      <c r="AM12" s="167" t="s">
        <v>118</v>
      </c>
      <c r="AN12" s="168" t="s">
        <v>118</v>
      </c>
      <c r="AO12" s="168" t="s">
        <v>118</v>
      </c>
      <c r="AP12" s="168" t="s">
        <v>118</v>
      </c>
    </row>
    <row r="13" spans="1:42" x14ac:dyDescent="0.3">
      <c r="A13" s="165">
        <v>5</v>
      </c>
      <c r="B13" s="177" t="s">
        <v>384</v>
      </c>
      <c r="C13" s="168" t="str">
        <f t="shared" ref="C13" si="5">H13</f>
        <v>-</v>
      </c>
      <c r="D13" s="168" t="str">
        <f t="shared" ref="D13" si="6">I13</f>
        <v>-</v>
      </c>
      <c r="E13" s="168" t="str">
        <f t="shared" ref="E13" si="7">J13</f>
        <v>-</v>
      </c>
      <c r="F13" s="168" t="str">
        <f t="shared" ref="F13" si="8">K13</f>
        <v>-</v>
      </c>
      <c r="G13" s="168" t="str">
        <f t="shared" ref="G13" si="9">L13</f>
        <v>-</v>
      </c>
      <c r="H13" s="166" t="s">
        <v>118</v>
      </c>
      <c r="I13" s="165" t="s">
        <v>118</v>
      </c>
      <c r="J13" s="168" t="s">
        <v>118</v>
      </c>
      <c r="K13" s="167" t="s">
        <v>118</v>
      </c>
      <c r="L13" s="167" t="s">
        <v>118</v>
      </c>
      <c r="M13" s="168" t="s">
        <v>118</v>
      </c>
      <c r="N13" s="167" t="s">
        <v>118</v>
      </c>
      <c r="O13" s="168" t="s">
        <v>118</v>
      </c>
      <c r="P13" s="168" t="s">
        <v>118</v>
      </c>
      <c r="Q13" s="168" t="s">
        <v>118</v>
      </c>
      <c r="R13" s="168">
        <f>'Бизнес-план 19 190117'!K25</f>
        <v>8950</v>
      </c>
      <c r="S13" s="167">
        <f>'Бизнес-план 19 190117'!K1</f>
        <v>558.36</v>
      </c>
      <c r="T13" s="168">
        <v>1</v>
      </c>
      <c r="U13" s="168">
        <f t="shared" si="0"/>
        <v>8950</v>
      </c>
      <c r="V13" s="168">
        <f>'Бизнес-план 19 190117'!K6</f>
        <v>5347135</v>
      </c>
      <c r="W13" s="168">
        <f>'Бизнес-план 20 190117'!I25</f>
        <v>12170</v>
      </c>
      <c r="X13" s="167">
        <f>('Бизнес-план 20 190117'!I7)/('Бизнес-план 20 190117'!I25)</f>
        <v>562.1</v>
      </c>
      <c r="Y13" s="168">
        <v>1</v>
      </c>
      <c r="Z13" s="168">
        <f>W13*Y13</f>
        <v>12170</v>
      </c>
      <c r="AA13" s="168">
        <f>'Бизнес-план 20 190117'!I6</f>
        <v>7319623</v>
      </c>
      <c r="AB13" s="168">
        <f>'Бизнес-план 21 190117'!G25+'Бизнес-план 21 190117'!F25</f>
        <v>3300</v>
      </c>
      <c r="AC13" s="167">
        <f>'Бизнес-план 21 190117'!G1</f>
        <v>589.41</v>
      </c>
      <c r="AD13" s="168">
        <v>1</v>
      </c>
      <c r="AE13" s="168">
        <f>AB13*AD13</f>
        <v>3300</v>
      </c>
      <c r="AF13" s="168">
        <f>'Бизнес-план 21 190117'!G6+'Бизнес-план 21 190117'!F6</f>
        <v>2081188</v>
      </c>
      <c r="AG13" s="168" t="s">
        <v>118</v>
      </c>
      <c r="AH13" s="167" t="s">
        <v>118</v>
      </c>
      <c r="AI13" s="168" t="s">
        <v>118</v>
      </c>
      <c r="AJ13" s="168" t="s">
        <v>118</v>
      </c>
      <c r="AK13" s="168" t="s">
        <v>118</v>
      </c>
      <c r="AL13" s="168" t="s">
        <v>118</v>
      </c>
      <c r="AM13" s="167" t="s">
        <v>118</v>
      </c>
      <c r="AN13" s="168" t="s">
        <v>118</v>
      </c>
      <c r="AO13" s="168" t="s">
        <v>118</v>
      </c>
      <c r="AP13" s="168" t="s">
        <v>118</v>
      </c>
    </row>
    <row r="14" spans="1:42" x14ac:dyDescent="0.3">
      <c r="A14" s="165">
        <v>6</v>
      </c>
      <c r="B14" s="177" t="s">
        <v>359</v>
      </c>
      <c r="C14" s="168" t="str">
        <f t="shared" ref="C14" si="10">H14</f>
        <v>-</v>
      </c>
      <c r="D14" s="168" t="str">
        <f t="shared" ref="D14" si="11">I14</f>
        <v>-</v>
      </c>
      <c r="E14" s="168" t="str">
        <f t="shared" ref="E14" si="12">J14</f>
        <v>-</v>
      </c>
      <c r="F14" s="168" t="str">
        <f t="shared" ref="F14" si="13">K14</f>
        <v>-</v>
      </c>
      <c r="G14" s="168" t="str">
        <f t="shared" ref="G14" si="14">L14</f>
        <v>-</v>
      </c>
      <c r="H14" s="166" t="s">
        <v>118</v>
      </c>
      <c r="I14" s="165" t="s">
        <v>118</v>
      </c>
      <c r="J14" s="168" t="s">
        <v>118</v>
      </c>
      <c r="K14" s="167" t="s">
        <v>118</v>
      </c>
      <c r="L14" s="167" t="s">
        <v>118</v>
      </c>
      <c r="M14" s="168" t="s">
        <v>118</v>
      </c>
      <c r="N14" s="167" t="s">
        <v>118</v>
      </c>
      <c r="O14" s="168" t="s">
        <v>118</v>
      </c>
      <c r="P14" s="168" t="s">
        <v>118</v>
      </c>
      <c r="Q14" s="168" t="s">
        <v>118</v>
      </c>
      <c r="R14" s="168">
        <f>'Бизнес-план 19 190117'!L25</f>
        <v>5145</v>
      </c>
      <c r="S14" s="167">
        <f>'Бизнес-план 19 190117'!L1</f>
        <v>550</v>
      </c>
      <c r="T14" s="168">
        <v>1</v>
      </c>
      <c r="U14" s="168">
        <f t="shared" si="0"/>
        <v>5145</v>
      </c>
      <c r="V14" s="168">
        <f>'Бизнес-план 19 190117'!L6</f>
        <v>3027833</v>
      </c>
      <c r="W14" s="168">
        <f>'Бизнес-план 20 190117'!J25</f>
        <v>3155</v>
      </c>
      <c r="X14" s="167">
        <f>'Бизнес-план 20 190117'!J1</f>
        <v>553.69000000000005</v>
      </c>
      <c r="Y14" s="168">
        <v>1</v>
      </c>
      <c r="Z14" s="168">
        <f>W14*Y14</f>
        <v>3155</v>
      </c>
      <c r="AA14" s="168">
        <f>'Бизнес-план 20 190117'!J6</f>
        <v>1869157</v>
      </c>
      <c r="AB14" s="168" t="s">
        <v>118</v>
      </c>
      <c r="AC14" s="167" t="s">
        <v>118</v>
      </c>
      <c r="AD14" s="168" t="s">
        <v>118</v>
      </c>
      <c r="AE14" s="168" t="s">
        <v>118</v>
      </c>
      <c r="AF14" s="168" t="s">
        <v>118</v>
      </c>
      <c r="AG14" s="168" t="s">
        <v>118</v>
      </c>
      <c r="AH14" s="167" t="s">
        <v>118</v>
      </c>
      <c r="AI14" s="168" t="s">
        <v>118</v>
      </c>
      <c r="AJ14" s="168" t="s">
        <v>118</v>
      </c>
      <c r="AK14" s="168" t="s">
        <v>118</v>
      </c>
      <c r="AL14" s="168" t="s">
        <v>118</v>
      </c>
      <c r="AM14" s="167" t="s">
        <v>118</v>
      </c>
      <c r="AN14" s="168" t="s">
        <v>118</v>
      </c>
      <c r="AO14" s="168" t="s">
        <v>118</v>
      </c>
      <c r="AP14" s="168" t="s">
        <v>118</v>
      </c>
    </row>
    <row r="15" spans="1:42" x14ac:dyDescent="0.3">
      <c r="A15" s="466" t="s">
        <v>276</v>
      </c>
      <c r="B15" s="467"/>
      <c r="C15" s="168" t="s">
        <v>118</v>
      </c>
      <c r="D15" s="168" t="s">
        <v>118</v>
      </c>
      <c r="E15" s="168">
        <f>SUM(E9:E14)</f>
        <v>3</v>
      </c>
      <c r="F15" s="168">
        <f>SUM(F9:F14)</f>
        <v>12344</v>
      </c>
      <c r="G15" s="392">
        <f>'Бизнес-план 18 190117'!C6</f>
        <v>6980818</v>
      </c>
      <c r="H15" s="168" t="s">
        <v>118</v>
      </c>
      <c r="I15" s="168" t="s">
        <v>118</v>
      </c>
      <c r="J15" s="168" t="s">
        <v>118</v>
      </c>
      <c r="K15" s="168" t="s">
        <v>118</v>
      </c>
      <c r="L15" s="168" t="s">
        <v>118</v>
      </c>
      <c r="M15" s="168" t="s">
        <v>118</v>
      </c>
      <c r="N15" s="167" t="s">
        <v>118</v>
      </c>
      <c r="O15" s="168" t="e">
        <f>O10+#REF!</f>
        <v>#REF!</v>
      </c>
      <c r="P15" s="168" t="e">
        <f>P10+#REF!</f>
        <v>#REF!</v>
      </c>
      <c r="Q15" s="168" t="e">
        <f>#REF!+Q10</f>
        <v>#REF!</v>
      </c>
      <c r="R15" s="168" t="s">
        <v>118</v>
      </c>
      <c r="S15" s="167" t="s">
        <v>118</v>
      </c>
      <c r="T15" s="168">
        <f>SUM(T9:T14)</f>
        <v>6</v>
      </c>
      <c r="U15" s="168">
        <f>SUM(U9:U14)</f>
        <v>33445</v>
      </c>
      <c r="V15" s="392">
        <f>'Бизнес-план 19 190117'!D6</f>
        <v>19981555</v>
      </c>
      <c r="W15" s="168" t="s">
        <v>118</v>
      </c>
      <c r="X15" s="167" t="s">
        <v>118</v>
      </c>
      <c r="Y15" s="168">
        <f>SUM(Y9:Y14)</f>
        <v>4</v>
      </c>
      <c r="Z15" s="168">
        <f>SUM(Z9:Z14)</f>
        <v>31955</v>
      </c>
      <c r="AA15" s="392">
        <f>'Бизнес-план 20 190117'!C6</f>
        <v>20153018</v>
      </c>
      <c r="AB15" s="168" t="s">
        <v>118</v>
      </c>
      <c r="AC15" s="167" t="s">
        <v>118</v>
      </c>
      <c r="AD15" s="168">
        <f>SUM(AD9:AD14)</f>
        <v>2</v>
      </c>
      <c r="AE15" s="168">
        <f>SUM(AE9:AE14)</f>
        <v>28960</v>
      </c>
      <c r="AF15" s="392">
        <f>'Бизнес-план 21 190117'!C6</f>
        <v>19279771</v>
      </c>
      <c r="AG15" s="168" t="s">
        <v>118</v>
      </c>
      <c r="AH15" s="167" t="s">
        <v>118</v>
      </c>
      <c r="AI15" s="168">
        <f>SUM(AI9:AI14)</f>
        <v>1</v>
      </c>
      <c r="AJ15" s="168">
        <f>SUM(AJ9:AJ14)</f>
        <v>9475</v>
      </c>
      <c r="AK15" s="392">
        <f>'Бизнес-план 22 190117'!C6</f>
        <v>6658498</v>
      </c>
      <c r="AL15" s="168" t="s">
        <v>118</v>
      </c>
      <c r="AM15" s="167" t="s">
        <v>118</v>
      </c>
      <c r="AN15" s="168" t="e">
        <f>AN10+#REF!+#REF!</f>
        <v>#REF!</v>
      </c>
      <c r="AO15" s="168" t="e">
        <f>AO10+#REF!+#REF!</f>
        <v>#REF!</v>
      </c>
      <c r="AP15" s="168" t="e">
        <f>AP10+#REF!+#REF!</f>
        <v>#REF!</v>
      </c>
    </row>
    <row r="16" spans="1:42" x14ac:dyDescent="0.3">
      <c r="A16" s="165">
        <v>7</v>
      </c>
      <c r="B16" s="177" t="s">
        <v>356</v>
      </c>
      <c r="C16" s="168">
        <f>'Бизнес-план 18 190117'!I25</f>
        <v>1946</v>
      </c>
      <c r="D16" s="168">
        <f>72800/160</f>
        <v>455</v>
      </c>
      <c r="E16" s="168">
        <v>1</v>
      </c>
      <c r="F16" s="168">
        <f>C16*E16</f>
        <v>1946</v>
      </c>
      <c r="G16" s="168">
        <f>'Бизнес-план 18 190117'!I6</f>
        <v>946400</v>
      </c>
      <c r="H16" s="166" t="s">
        <v>118</v>
      </c>
      <c r="I16" s="165" t="s">
        <v>118</v>
      </c>
      <c r="J16" s="168" t="s">
        <v>118</v>
      </c>
      <c r="K16" s="167" t="s">
        <v>118</v>
      </c>
      <c r="L16" s="167" t="s">
        <v>118</v>
      </c>
      <c r="M16" s="168" t="s">
        <v>118</v>
      </c>
      <c r="N16" s="167" t="s">
        <v>118</v>
      </c>
      <c r="O16" s="168" t="s">
        <v>118</v>
      </c>
      <c r="P16" s="168" t="s">
        <v>118</v>
      </c>
      <c r="Q16" s="168" t="s">
        <v>118</v>
      </c>
      <c r="R16" s="168" t="s">
        <v>118</v>
      </c>
      <c r="S16" s="167" t="s">
        <v>118</v>
      </c>
      <c r="T16" s="168" t="s">
        <v>118</v>
      </c>
      <c r="U16" s="168" t="s">
        <v>118</v>
      </c>
      <c r="V16" s="168" t="s">
        <v>118</v>
      </c>
      <c r="W16" s="168" t="s">
        <v>118</v>
      </c>
      <c r="X16" s="167" t="s">
        <v>118</v>
      </c>
      <c r="Y16" s="168" t="s">
        <v>118</v>
      </c>
      <c r="Z16" s="168" t="s">
        <v>118</v>
      </c>
      <c r="AA16" s="168" t="s">
        <v>118</v>
      </c>
      <c r="AB16" s="168" t="s">
        <v>118</v>
      </c>
      <c r="AC16" s="167" t="s">
        <v>118</v>
      </c>
      <c r="AD16" s="168" t="s">
        <v>118</v>
      </c>
      <c r="AE16" s="168" t="s">
        <v>118</v>
      </c>
      <c r="AF16" s="168" t="s">
        <v>118</v>
      </c>
      <c r="AG16" s="168" t="s">
        <v>118</v>
      </c>
      <c r="AH16" s="167" t="s">
        <v>118</v>
      </c>
      <c r="AI16" s="168" t="s">
        <v>118</v>
      </c>
      <c r="AJ16" s="168" t="s">
        <v>118</v>
      </c>
      <c r="AK16" s="168" t="s">
        <v>118</v>
      </c>
      <c r="AL16" s="168" t="s">
        <v>118</v>
      </c>
      <c r="AM16" s="167" t="s">
        <v>118</v>
      </c>
      <c r="AN16" s="168" t="s">
        <v>118</v>
      </c>
      <c r="AO16" s="168" t="s">
        <v>118</v>
      </c>
      <c r="AP16" s="168" t="s">
        <v>118</v>
      </c>
    </row>
    <row r="17" spans="1:42" x14ac:dyDescent="0.3">
      <c r="A17" s="165">
        <v>8</v>
      </c>
      <c r="B17" s="177" t="s">
        <v>360</v>
      </c>
      <c r="C17" s="168">
        <f>'Бизнес-план 18 190117'!J25</f>
        <v>3709</v>
      </c>
      <c r="D17" s="168" t="str">
        <f t="shared" ref="D17" si="15">I17</f>
        <v>-</v>
      </c>
      <c r="E17" s="168">
        <v>1</v>
      </c>
      <c r="F17" s="168">
        <f>C17*E17</f>
        <v>3709</v>
      </c>
      <c r="G17" s="168">
        <f>'Бизнес-план 18 190117'!J6</f>
        <v>4352235</v>
      </c>
      <c r="H17" s="168" t="s">
        <v>118</v>
      </c>
      <c r="I17" s="167" t="s">
        <v>118</v>
      </c>
      <c r="J17" s="168" t="s">
        <v>118</v>
      </c>
      <c r="K17" s="168" t="s">
        <v>118</v>
      </c>
      <c r="L17" s="168" t="s">
        <v>118</v>
      </c>
      <c r="M17" s="168">
        <f>13*160</f>
        <v>2080</v>
      </c>
      <c r="N17" s="167">
        <f>'[1]Бизнес-план на 2018'!I1</f>
        <v>425.23</v>
      </c>
      <c r="O17" s="168">
        <v>1</v>
      </c>
      <c r="P17" s="168">
        <f>M17*O17</f>
        <v>2080</v>
      </c>
      <c r="Q17" s="168">
        <f>946400</f>
        <v>946400</v>
      </c>
      <c r="R17" s="168">
        <f>'Бизнес-план 19 190117'!M25</f>
        <v>8640</v>
      </c>
      <c r="S17" s="167" t="s">
        <v>118</v>
      </c>
      <c r="T17" s="168">
        <v>1</v>
      </c>
      <c r="U17" s="168">
        <f>R17*T17</f>
        <v>8640</v>
      </c>
      <c r="V17" s="168">
        <f>'Бизнес-план 19 190117'!M6</f>
        <v>5161927</v>
      </c>
      <c r="W17" s="168">
        <f>'Бизнес-план 20 190117'!K25</f>
        <v>8640</v>
      </c>
      <c r="X17" s="167" t="s">
        <v>118</v>
      </c>
      <c r="Y17" s="168">
        <v>1</v>
      </c>
      <c r="Z17" s="168">
        <f>W17*Y17</f>
        <v>8640</v>
      </c>
      <c r="AA17" s="168">
        <f>'Бизнес-план 20 190117'!K6</f>
        <v>5448885</v>
      </c>
      <c r="AB17" s="168">
        <f>'Бизнес-план 21 190117'!H25</f>
        <v>8640</v>
      </c>
      <c r="AC17" s="167" t="s">
        <v>118</v>
      </c>
      <c r="AD17" s="168">
        <v>1</v>
      </c>
      <c r="AE17" s="168">
        <f>AB17*AD17</f>
        <v>8640</v>
      </c>
      <c r="AF17" s="168">
        <f>'Бизнес-план 21 190117'!H6</f>
        <v>5751930</v>
      </c>
      <c r="AG17" s="168">
        <f>'Бизнес-план 22 190117'!G25</f>
        <v>8640</v>
      </c>
      <c r="AH17" s="167" t="s">
        <v>118</v>
      </c>
      <c r="AI17" s="168">
        <v>1</v>
      </c>
      <c r="AJ17" s="168">
        <f>AG17*AI17</f>
        <v>8640</v>
      </c>
      <c r="AK17" s="168">
        <f>'Бизнес-план 22 190117'!G6</f>
        <v>6071707</v>
      </c>
      <c r="AL17" s="168" t="s">
        <v>118</v>
      </c>
      <c r="AM17" s="167" t="s">
        <v>118</v>
      </c>
      <c r="AN17" s="168" t="s">
        <v>118</v>
      </c>
      <c r="AO17" s="168" t="s">
        <v>118</v>
      </c>
      <c r="AP17" s="168" t="s">
        <v>118</v>
      </c>
    </row>
    <row r="18" spans="1:42" ht="38.25" customHeight="1" x14ac:dyDescent="0.3">
      <c r="A18" s="468" t="s">
        <v>277</v>
      </c>
      <c r="B18" s="469"/>
      <c r="C18" s="168" t="s">
        <v>118</v>
      </c>
      <c r="D18" s="168" t="s">
        <v>118</v>
      </c>
      <c r="E18" s="168">
        <f>SUM(E16:E17)</f>
        <v>2</v>
      </c>
      <c r="F18" s="168">
        <f>SUM(F16:F17)</f>
        <v>5655</v>
      </c>
      <c r="G18" s="392">
        <f>SUM(G16:G17)</f>
        <v>5298635</v>
      </c>
      <c r="H18" s="168" t="s">
        <v>118</v>
      </c>
      <c r="I18" s="168" t="s">
        <v>118</v>
      </c>
      <c r="J18" s="168" t="s">
        <v>118</v>
      </c>
      <c r="K18" s="168" t="s">
        <v>118</v>
      </c>
      <c r="L18" s="168" t="s">
        <v>118</v>
      </c>
      <c r="M18" s="168" t="s">
        <v>118</v>
      </c>
      <c r="N18" s="168" t="s">
        <v>118</v>
      </c>
      <c r="O18" s="168">
        <f>SUM(O17:O17)</f>
        <v>1</v>
      </c>
      <c r="P18" s="168">
        <f>SUM(P17:P17)</f>
        <v>2080</v>
      </c>
      <c r="Q18" s="168">
        <f>SUM(Q17:Q17)</f>
        <v>946400</v>
      </c>
      <c r="R18" s="166" t="s">
        <v>118</v>
      </c>
      <c r="S18" s="168" t="s">
        <v>118</v>
      </c>
      <c r="T18" s="168">
        <f>SUM(T17:T17)</f>
        <v>1</v>
      </c>
      <c r="U18" s="168">
        <f>SUM(U17:U17)</f>
        <v>8640</v>
      </c>
      <c r="V18" s="392">
        <f>SUM(V17:V17)</f>
        <v>5161927</v>
      </c>
      <c r="W18" s="166" t="s">
        <v>118</v>
      </c>
      <c r="X18" s="168" t="s">
        <v>118</v>
      </c>
      <c r="Y18" s="168">
        <f>SUM(Y17:Y17)</f>
        <v>1</v>
      </c>
      <c r="Z18" s="168">
        <f>SUM(Z17:Z17)</f>
        <v>8640</v>
      </c>
      <c r="AA18" s="392">
        <f>SUM(AA17:AA17)</f>
        <v>5448885</v>
      </c>
      <c r="AB18" s="166" t="s">
        <v>118</v>
      </c>
      <c r="AC18" s="168" t="s">
        <v>118</v>
      </c>
      <c r="AD18" s="168">
        <f>SUM(AD17:AD17)</f>
        <v>1</v>
      </c>
      <c r="AE18" s="168">
        <f>SUM(AE17:AE17)</f>
        <v>8640</v>
      </c>
      <c r="AF18" s="392">
        <f>SUM(AF17:AF17)</f>
        <v>5751930</v>
      </c>
      <c r="AG18" s="166" t="s">
        <v>118</v>
      </c>
      <c r="AH18" s="168" t="s">
        <v>118</v>
      </c>
      <c r="AI18" s="168">
        <f>SUM(AI17:AI17)</f>
        <v>1</v>
      </c>
      <c r="AJ18" s="168">
        <f>SUM(AJ17:AJ17)</f>
        <v>8640</v>
      </c>
      <c r="AK18" s="392">
        <f>SUM(AK17:AK17)</f>
        <v>6071707</v>
      </c>
      <c r="AL18" s="166" t="s">
        <v>118</v>
      </c>
      <c r="AM18" s="168" t="s">
        <v>118</v>
      </c>
      <c r="AN18" s="168">
        <f>SUM(AN17:AN17)</f>
        <v>0</v>
      </c>
      <c r="AO18" s="168">
        <f>SUM(AO17:AO17)</f>
        <v>0</v>
      </c>
      <c r="AP18" s="168">
        <f>SUM(AP17:AP17)</f>
        <v>0</v>
      </c>
    </row>
    <row r="19" spans="1:42" x14ac:dyDescent="0.3">
      <c r="A19" s="470" t="s">
        <v>150</v>
      </c>
      <c r="B19" s="471"/>
      <c r="C19" s="168" t="str">
        <f t="shared" ref="C19:L19" si="16">C18</f>
        <v>-</v>
      </c>
      <c r="D19" s="168" t="str">
        <f t="shared" si="16"/>
        <v>-</v>
      </c>
      <c r="E19" s="168">
        <f>E15+E18</f>
        <v>5</v>
      </c>
      <c r="F19" s="168">
        <f>F15+F18</f>
        <v>17999</v>
      </c>
      <c r="G19" s="392">
        <f>'Бизнес-план 18 190117'!K6</f>
        <v>12279453</v>
      </c>
      <c r="H19" s="168" t="str">
        <f t="shared" si="16"/>
        <v>-</v>
      </c>
      <c r="I19" s="168" t="str">
        <f t="shared" si="16"/>
        <v>-</v>
      </c>
      <c r="J19" s="168" t="str">
        <f t="shared" si="16"/>
        <v>-</v>
      </c>
      <c r="K19" s="168" t="s">
        <v>118</v>
      </c>
      <c r="L19" s="168" t="str">
        <f t="shared" si="16"/>
        <v>-</v>
      </c>
      <c r="M19" s="168" t="s">
        <v>118</v>
      </c>
      <c r="N19" s="168" t="s">
        <v>118</v>
      </c>
      <c r="O19" s="168" t="e">
        <f>O18+O15</f>
        <v>#REF!</v>
      </c>
      <c r="P19" s="168" t="e">
        <f>P18+P15</f>
        <v>#REF!</v>
      </c>
      <c r="Q19" s="168" t="e">
        <f>Q18+Q15</f>
        <v>#REF!</v>
      </c>
      <c r="R19" s="166" t="s">
        <v>118</v>
      </c>
      <c r="S19" s="168" t="s">
        <v>118</v>
      </c>
      <c r="T19" s="168">
        <f>T15+T18</f>
        <v>7</v>
      </c>
      <c r="U19" s="168">
        <f>U15+U18</f>
        <v>42085</v>
      </c>
      <c r="V19" s="392">
        <f>'Бизнес-план 19 190117'!N6</f>
        <v>25143481</v>
      </c>
      <c r="W19" s="166" t="s">
        <v>118</v>
      </c>
      <c r="X19" s="168" t="s">
        <v>118</v>
      </c>
      <c r="Y19" s="168">
        <f>Y15+Y18</f>
        <v>5</v>
      </c>
      <c r="Z19" s="168">
        <f>Z15+Z18</f>
        <v>40595</v>
      </c>
      <c r="AA19" s="392">
        <f>'Бизнес-план 20 190117'!L6</f>
        <v>25601903</v>
      </c>
      <c r="AB19" s="166" t="s">
        <v>118</v>
      </c>
      <c r="AC19" s="168" t="s">
        <v>118</v>
      </c>
      <c r="AD19" s="168">
        <f>AD15+AD18</f>
        <v>3</v>
      </c>
      <c r="AE19" s="168">
        <f>AE15+AE18</f>
        <v>37600</v>
      </c>
      <c r="AF19" s="392">
        <f>'Бизнес-план 21 190117'!I6</f>
        <v>25031701</v>
      </c>
      <c r="AG19" s="166" t="s">
        <v>118</v>
      </c>
      <c r="AH19" s="168" t="s">
        <v>118</v>
      </c>
      <c r="AI19" s="168">
        <f>AI15+AI18</f>
        <v>2</v>
      </c>
      <c r="AJ19" s="168">
        <f>AJ15+AJ18</f>
        <v>18115</v>
      </c>
      <c r="AK19" s="392">
        <f>'Бизнес-план 22 190117'!H6</f>
        <v>12730206</v>
      </c>
      <c r="AL19" s="166" t="s">
        <v>118</v>
      </c>
      <c r="AM19" s="168" t="s">
        <v>118</v>
      </c>
      <c r="AN19" s="168" t="e">
        <f>AN15+AN18</f>
        <v>#REF!</v>
      </c>
      <c r="AO19" s="168" t="e">
        <f>AO15+AO18</f>
        <v>#REF!</v>
      </c>
      <c r="AP19" s="168" t="e">
        <f>AP15+AP18</f>
        <v>#REF!</v>
      </c>
    </row>
    <row r="20" spans="1:42" ht="24.6" customHeight="1" x14ac:dyDescent="0.3">
      <c r="A20" s="169"/>
      <c r="B20" s="169"/>
      <c r="C20" s="170"/>
      <c r="D20" s="171"/>
      <c r="E20" s="171"/>
      <c r="F20" s="172"/>
      <c r="G20" s="172"/>
      <c r="H20" s="170"/>
      <c r="I20" s="171"/>
      <c r="J20" s="173"/>
      <c r="K20" s="172"/>
      <c r="L20" s="172"/>
      <c r="M20" s="170"/>
      <c r="N20" s="172"/>
      <c r="O20" s="173"/>
      <c r="P20" s="172"/>
      <c r="Q20" s="172"/>
      <c r="R20" s="170"/>
      <c r="S20" s="172"/>
      <c r="T20" s="174"/>
      <c r="U20" s="175"/>
      <c r="V20" s="175"/>
      <c r="W20" s="170"/>
      <c r="X20" s="172"/>
      <c r="Y20" s="174"/>
      <c r="Z20" s="175"/>
      <c r="AA20" s="175"/>
      <c r="AB20" s="170"/>
      <c r="AC20" s="172"/>
      <c r="AD20" s="174"/>
      <c r="AE20" s="175"/>
      <c r="AF20" s="175"/>
      <c r="AG20" s="170"/>
      <c r="AH20" s="172"/>
      <c r="AI20" s="174"/>
      <c r="AJ20" s="175"/>
      <c r="AK20" s="175"/>
      <c r="AL20" s="170"/>
      <c r="AM20" s="172"/>
      <c r="AN20" s="174"/>
      <c r="AO20" s="175"/>
      <c r="AP20" s="175"/>
    </row>
    <row r="21" spans="1:42" ht="28.2" customHeight="1" x14ac:dyDescent="0.3">
      <c r="A21" s="283"/>
      <c r="B21" s="283"/>
      <c r="C21" s="283"/>
      <c r="D21" s="283"/>
      <c r="E21" s="283"/>
      <c r="F21" s="283"/>
      <c r="G21" s="283"/>
      <c r="H21" s="283"/>
      <c r="I21" s="283"/>
      <c r="J21" s="283"/>
      <c r="K21" s="283"/>
      <c r="L21" s="283"/>
      <c r="M21" s="283"/>
      <c r="N21" s="283"/>
      <c r="O21" s="283"/>
      <c r="P21" s="283"/>
      <c r="Q21" s="283"/>
      <c r="R21" s="322"/>
      <c r="S21" s="322"/>
      <c r="T21" s="322"/>
      <c r="U21" s="322"/>
      <c r="V21" s="322"/>
      <c r="W21" s="322"/>
      <c r="X21" s="322"/>
      <c r="Y21" s="322"/>
      <c r="Z21" s="322"/>
      <c r="AA21" s="322"/>
      <c r="AB21" s="283"/>
      <c r="AC21" s="283"/>
      <c r="AD21" s="283"/>
      <c r="AE21" s="283"/>
      <c r="AF21" s="283"/>
      <c r="AG21" s="283"/>
      <c r="AH21" s="283"/>
      <c r="AI21" s="283"/>
      <c r="AJ21" s="283"/>
      <c r="AK21" s="283"/>
      <c r="AL21" s="283"/>
      <c r="AM21" s="283"/>
      <c r="AN21" s="283"/>
      <c r="AO21" s="283"/>
      <c r="AP21" s="283"/>
    </row>
    <row r="22" spans="1:42" ht="57.6" customHeight="1" x14ac:dyDescent="0.3">
      <c r="B22" s="472" t="s">
        <v>371</v>
      </c>
      <c r="C22" s="472"/>
      <c r="D22" s="472"/>
      <c r="E22" s="282"/>
      <c r="F22" s="282"/>
      <c r="I22" s="202"/>
      <c r="J22" s="202"/>
      <c r="V22" s="321"/>
      <c r="AA22" s="321"/>
      <c r="AF22" s="473" t="s">
        <v>367</v>
      </c>
      <c r="AG22" s="473"/>
      <c r="AH22" s="473"/>
      <c r="AI22" s="473"/>
      <c r="AJ22" s="473"/>
      <c r="AK22" s="202"/>
      <c r="AL22" s="202"/>
    </row>
    <row r="23" spans="1:42" ht="58.95" customHeight="1" x14ac:dyDescent="0.35">
      <c r="B23" s="474" t="s">
        <v>374</v>
      </c>
      <c r="C23" s="474"/>
      <c r="D23" s="474"/>
      <c r="E23" s="474"/>
      <c r="F23" s="474"/>
      <c r="I23" s="176"/>
      <c r="J23" s="176"/>
      <c r="V23" s="321"/>
      <c r="AA23" s="321"/>
      <c r="AF23" s="474" t="s">
        <v>279</v>
      </c>
      <c r="AG23" s="474"/>
      <c r="AH23" s="474"/>
      <c r="AI23" s="474"/>
      <c r="AJ23" s="474"/>
      <c r="AK23" s="281"/>
      <c r="AL23" s="281"/>
    </row>
    <row r="24" spans="1:42" ht="49.95" customHeight="1" x14ac:dyDescent="0.35">
      <c r="B24" s="365" t="s">
        <v>278</v>
      </c>
      <c r="C24" s="284"/>
      <c r="D24" s="284"/>
      <c r="E24" s="284"/>
      <c r="F24" s="284"/>
      <c r="V24" s="321"/>
      <c r="AA24" s="321"/>
      <c r="AF24" s="463" t="s">
        <v>278</v>
      </c>
      <c r="AG24" s="463"/>
      <c r="AH24" s="463"/>
      <c r="AI24" s="463"/>
      <c r="AJ24" s="463"/>
      <c r="AK24" s="285"/>
      <c r="AL24" s="285"/>
    </row>
    <row r="25" spans="1:42" ht="21" customHeight="1" x14ac:dyDescent="0.3"/>
    <row r="26" spans="1:42" ht="21" customHeight="1" x14ac:dyDescent="0.3">
      <c r="A26" s="464" t="s">
        <v>115</v>
      </c>
      <c r="B26" s="464"/>
      <c r="C26" s="464"/>
      <c r="D26" s="464"/>
      <c r="E26" s="464"/>
      <c r="F26" s="464"/>
      <c r="G26" s="464"/>
      <c r="H26" s="464"/>
      <c r="I26" s="464"/>
      <c r="J26" s="464"/>
      <c r="K26" s="464"/>
      <c r="L26" s="464"/>
      <c r="M26" s="464"/>
      <c r="N26" s="464"/>
      <c r="O26" s="464"/>
      <c r="P26" s="464"/>
      <c r="Q26" s="464"/>
      <c r="R26" s="464"/>
      <c r="S26" s="464"/>
      <c r="T26" s="464"/>
      <c r="U26" s="464"/>
      <c r="V26" s="464"/>
      <c r="W26" s="464"/>
      <c r="X26" s="464"/>
      <c r="Y26" s="464"/>
      <c r="Z26" s="464"/>
      <c r="AA26" s="464"/>
      <c r="AB26" s="464"/>
      <c r="AC26" s="464"/>
      <c r="AD26" s="464"/>
      <c r="AE26" s="464"/>
      <c r="AF26" s="464"/>
      <c r="AG26" s="464"/>
      <c r="AH26" s="464"/>
      <c r="AI26" s="464"/>
      <c r="AJ26" s="464"/>
      <c r="AK26" s="464"/>
      <c r="AL26" s="464"/>
      <c r="AM26" s="464"/>
      <c r="AN26" s="464"/>
      <c r="AO26" s="464"/>
      <c r="AP26" s="464"/>
    </row>
    <row r="27" spans="1:42" ht="130.5" customHeight="1" x14ac:dyDescent="0.3">
      <c r="A27" s="162"/>
      <c r="B27" s="465" t="s">
        <v>286</v>
      </c>
      <c r="C27" s="445"/>
      <c r="D27" s="445"/>
      <c r="E27" s="445"/>
      <c r="F27" s="445"/>
      <c r="G27" s="445"/>
      <c r="H27" s="445"/>
      <c r="I27" s="445"/>
      <c r="J27" s="445"/>
      <c r="K27" s="445"/>
      <c r="L27" s="445"/>
      <c r="M27" s="445"/>
      <c r="N27" s="445"/>
      <c r="O27" s="445"/>
      <c r="P27" s="445"/>
      <c r="Q27" s="445"/>
      <c r="R27" s="445"/>
      <c r="S27" s="445"/>
      <c r="T27" s="445"/>
      <c r="U27" s="445"/>
      <c r="V27" s="445"/>
      <c r="W27" s="445"/>
      <c r="X27" s="445"/>
      <c r="Y27" s="445"/>
      <c r="Z27" s="445"/>
      <c r="AA27" s="445"/>
      <c r="AB27" s="445"/>
      <c r="AC27" s="445"/>
      <c r="AD27" s="445"/>
      <c r="AE27" s="445"/>
      <c r="AF27" s="445"/>
      <c r="AG27" s="445"/>
      <c r="AH27" s="445"/>
      <c r="AI27" s="445"/>
      <c r="AJ27" s="445"/>
      <c r="AK27" s="445"/>
      <c r="AL27" s="445"/>
      <c r="AM27" s="445"/>
      <c r="AN27" s="445"/>
      <c r="AO27" s="445"/>
      <c r="AP27" s="445"/>
    </row>
    <row r="28" spans="1:42" ht="20.25" customHeight="1" x14ac:dyDescent="0.3"/>
  </sheetData>
  <mergeCells count="22">
    <mergeCell ref="AF24:AJ24"/>
    <mergeCell ref="A26:AP26"/>
    <mergeCell ref="B27:AP27"/>
    <mergeCell ref="A15:B15"/>
    <mergeCell ref="A18:B18"/>
    <mergeCell ref="A19:B19"/>
    <mergeCell ref="B22:D22"/>
    <mergeCell ref="AF22:AJ22"/>
    <mergeCell ref="B23:F23"/>
    <mergeCell ref="AF23:AJ23"/>
    <mergeCell ref="A3:AP3"/>
    <mergeCell ref="A5:A7"/>
    <mergeCell ref="B5:B7"/>
    <mergeCell ref="C5:L5"/>
    <mergeCell ref="M5:Q6"/>
    <mergeCell ref="AB5:AF6"/>
    <mergeCell ref="AG5:AK6"/>
    <mergeCell ref="AL5:AP6"/>
    <mergeCell ref="C6:G6"/>
    <mergeCell ref="H6:L6"/>
    <mergeCell ref="W5:AA6"/>
    <mergeCell ref="R5:V6"/>
  </mergeCells>
  <pageMargins left="0.39370078740157483" right="0.31496062992125984" top="0.78740157480314965" bottom="0.39370078740157483" header="0.19685039370078741" footer="0.19685039370078741"/>
  <pageSetup paperSize="8" scale="57" fitToHeight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30"/>
  <sheetViews>
    <sheetView workbookViewId="0">
      <selection activeCell="G33" sqref="G33"/>
    </sheetView>
  </sheetViews>
  <sheetFormatPr defaultRowHeight="14.4" x14ac:dyDescent="0.3"/>
  <cols>
    <col min="1" max="1" width="5.33203125" customWidth="1"/>
    <col min="2" max="2" width="73.33203125" bestFit="1" customWidth="1"/>
    <col min="3" max="3" width="14.33203125" bestFit="1" customWidth="1"/>
    <col min="4" max="4" width="11.44140625" bestFit="1" customWidth="1"/>
    <col min="5" max="5" width="11" bestFit="1" customWidth="1"/>
    <col min="6" max="9" width="11.5546875" bestFit="1" customWidth="1"/>
    <col min="10" max="10" width="12.44140625" bestFit="1" customWidth="1"/>
    <col min="11" max="11" width="15.44140625" bestFit="1" customWidth="1"/>
    <col min="12" max="12" width="11.5546875" bestFit="1" customWidth="1"/>
    <col min="13" max="13" width="2.88671875" customWidth="1"/>
    <col min="14" max="14" width="13.109375" bestFit="1" customWidth="1"/>
    <col min="15" max="15" width="4.109375" customWidth="1"/>
    <col min="16" max="16" width="12.44140625" bestFit="1" customWidth="1"/>
    <col min="17" max="17" width="12.5546875" bestFit="1" customWidth="1"/>
  </cols>
  <sheetData>
    <row r="1" spans="2:17" ht="15" x14ac:dyDescent="0.25">
      <c r="D1" s="324">
        <v>530</v>
      </c>
      <c r="E1" s="326">
        <f>E7/E25</f>
        <v>359.71</v>
      </c>
      <c r="F1" s="376"/>
      <c r="G1" s="324">
        <v>530</v>
      </c>
      <c r="H1" s="324">
        <v>530</v>
      </c>
      <c r="I1" s="324"/>
      <c r="J1" s="152"/>
      <c r="K1" s="324"/>
    </row>
    <row r="2" spans="2:17" ht="15" x14ac:dyDescent="0.25">
      <c r="D2" s="324"/>
      <c r="E2" s="324"/>
      <c r="F2" s="377"/>
      <c r="G2" s="324"/>
      <c r="H2" s="324"/>
      <c r="I2" s="324"/>
      <c r="J2" s="152"/>
      <c r="K2" s="324"/>
    </row>
    <row r="3" spans="2:17" ht="16.2" thickBot="1" x14ac:dyDescent="0.35">
      <c r="C3" s="49" t="s">
        <v>140</v>
      </c>
      <c r="D3" s="325" t="s">
        <v>143</v>
      </c>
      <c r="E3" s="325" t="s">
        <v>144</v>
      </c>
      <c r="F3" s="378" t="s">
        <v>375</v>
      </c>
      <c r="G3" s="325" t="s">
        <v>120</v>
      </c>
      <c r="H3" s="325" t="s">
        <v>121</v>
      </c>
      <c r="I3" s="325" t="s">
        <v>119</v>
      </c>
      <c r="J3" s="288" t="s">
        <v>341</v>
      </c>
      <c r="K3" s="48" t="s">
        <v>124</v>
      </c>
      <c r="L3" s="50" t="s">
        <v>310</v>
      </c>
      <c r="N3" s="50" t="s">
        <v>9</v>
      </c>
    </row>
    <row r="4" spans="2:17" ht="16.2" thickBot="1" x14ac:dyDescent="0.35">
      <c r="B4" s="45" t="s">
        <v>125</v>
      </c>
      <c r="C4" s="51">
        <f>SUM(D4:H4)</f>
        <v>0</v>
      </c>
      <c r="D4" s="55">
        <f>D5</f>
        <v>0</v>
      </c>
      <c r="E4" s="55">
        <f t="shared" ref="E4:I4" si="0">E5</f>
        <v>0</v>
      </c>
      <c r="F4" s="379">
        <v>0</v>
      </c>
      <c r="G4" s="55">
        <f t="shared" si="0"/>
        <v>0</v>
      </c>
      <c r="H4" s="55">
        <f t="shared" si="0"/>
        <v>0</v>
      </c>
      <c r="I4" s="55">
        <f t="shared" si="0"/>
        <v>306000</v>
      </c>
      <c r="J4" s="205">
        <f>J5</f>
        <v>2610984</v>
      </c>
      <c r="K4" s="179">
        <f>SUM(D4:J4)</f>
        <v>2916984</v>
      </c>
    </row>
    <row r="5" spans="2:17" ht="16.2" thickBot="1" x14ac:dyDescent="0.35">
      <c r="B5" s="46" t="s">
        <v>137</v>
      </c>
      <c r="C5" s="51">
        <f>SUM(D5:H5)</f>
        <v>0</v>
      </c>
      <c r="D5" s="55">
        <v>0</v>
      </c>
      <c r="E5" s="55">
        <v>0</v>
      </c>
      <c r="F5" s="379">
        <v>0</v>
      </c>
      <c r="G5" s="55">
        <v>0</v>
      </c>
      <c r="H5" s="55">
        <v>0</v>
      </c>
      <c r="I5" s="55">
        <v>306000</v>
      </c>
      <c r="J5" s="205">
        <f>2610984</f>
        <v>2610984</v>
      </c>
      <c r="K5" s="351">
        <f>SUM(D5:J5)</f>
        <v>2916984</v>
      </c>
    </row>
    <row r="6" spans="2:17" ht="16.2" thickBot="1" x14ac:dyDescent="0.35">
      <c r="B6" s="45" t="s">
        <v>126</v>
      </c>
      <c r="C6" s="51">
        <f>ROUNDDOWN(C7+C8,0)</f>
        <v>6980818</v>
      </c>
      <c r="D6" s="55">
        <f>D7+D8</f>
        <v>2171558.4</v>
      </c>
      <c r="E6" s="55">
        <f>E7+E8</f>
        <v>244603</v>
      </c>
      <c r="F6" s="379">
        <f>F7+F8</f>
        <v>132472.79999999999</v>
      </c>
      <c r="G6" s="55">
        <f t="shared" ref="G6:H6" si="1">G7+G8</f>
        <v>2143638</v>
      </c>
      <c r="H6" s="55">
        <f t="shared" si="1"/>
        <v>2288546.4900000002</v>
      </c>
      <c r="I6" s="55">
        <f t="shared" ref="I6" si="2">I7+I8</f>
        <v>946400</v>
      </c>
      <c r="J6" s="205">
        <f>J7+J8</f>
        <v>4352235.07</v>
      </c>
      <c r="K6" s="179">
        <f t="shared" ref="K6:K14" si="3">ROUNDDOWN(SUM(D6:J6),0)</f>
        <v>12279453</v>
      </c>
    </row>
    <row r="7" spans="2:17" ht="15.6" x14ac:dyDescent="0.3">
      <c r="B7" s="46" t="s">
        <v>127</v>
      </c>
      <c r="C7" s="366">
        <f>ROUNDDOWN(SUM(D7:H7),0)</f>
        <v>6550547</v>
      </c>
      <c r="D7" s="204">
        <f>D25*D1</f>
        <v>2035200</v>
      </c>
      <c r="E7" s="329">
        <f>244603</f>
        <v>244603</v>
      </c>
      <c r="F7" s="379">
        <v>124024.39</v>
      </c>
      <c r="G7" s="204">
        <f>G25*G1</f>
        <v>2003400</v>
      </c>
      <c r="H7" s="204">
        <f>H25*H1</f>
        <v>2143320</v>
      </c>
      <c r="I7" s="204">
        <f>946400*(1-0.07/1.07)</f>
        <v>884485.98</v>
      </c>
      <c r="J7" s="379">
        <f>3947424.87-F7</f>
        <v>3823400.48</v>
      </c>
      <c r="K7" s="351">
        <f t="shared" si="3"/>
        <v>11258433</v>
      </c>
      <c r="L7" s="182">
        <f>7208000</f>
        <v>7208000</v>
      </c>
      <c r="N7" s="51">
        <f>C7</f>
        <v>6550547</v>
      </c>
      <c r="P7" s="359"/>
      <c r="Q7" s="58"/>
    </row>
    <row r="8" spans="2:17" ht="16.2" thickBot="1" x14ac:dyDescent="0.35">
      <c r="B8" s="46" t="s">
        <v>128</v>
      </c>
      <c r="C8" s="366">
        <f>ROUNDDOWN(SUM(D8:H8),0)</f>
        <v>430271</v>
      </c>
      <c r="D8" s="204">
        <f>D7*0.067</f>
        <v>136358.39999999999</v>
      </c>
      <c r="E8" s="329">
        <v>0</v>
      </c>
      <c r="F8" s="379">
        <v>8448.41</v>
      </c>
      <c r="G8" s="204">
        <f>G7*0.07</f>
        <v>140238</v>
      </c>
      <c r="H8" s="204">
        <f>145226.49</f>
        <v>145226.49</v>
      </c>
      <c r="I8" s="204">
        <f>946400*0.07/1.07</f>
        <v>61914.02</v>
      </c>
      <c r="J8" s="379">
        <f>537283-F8</f>
        <v>528834.59</v>
      </c>
      <c r="K8" s="351">
        <f t="shared" si="3"/>
        <v>1021019</v>
      </c>
      <c r="L8" s="182">
        <v>504560</v>
      </c>
      <c r="N8" s="51">
        <f>C8</f>
        <v>430271</v>
      </c>
      <c r="P8" s="359"/>
      <c r="Q8" s="58"/>
    </row>
    <row r="9" spans="2:17" ht="16.2" thickBot="1" x14ac:dyDescent="0.35">
      <c r="B9" s="45" t="s">
        <v>129</v>
      </c>
      <c r="C9" s="375">
        <f>ROUNDDOWN(SUM(D9:H9),0)</f>
        <v>1927078</v>
      </c>
      <c r="D9" s="204">
        <v>613587.05000000005</v>
      </c>
      <c r="E9" s="329">
        <f>59388.58</f>
        <v>59388.58</v>
      </c>
      <c r="F9" s="381">
        <f>(F7+F8)*0.21</f>
        <v>27819.29</v>
      </c>
      <c r="G9" s="204">
        <v>606556.4</v>
      </c>
      <c r="H9" s="204">
        <v>619727.31000000006</v>
      </c>
      <c r="I9" s="204">
        <v>285009.90999999997</v>
      </c>
      <c r="J9" s="382">
        <f>1020253.27-F9</f>
        <v>992433.98</v>
      </c>
      <c r="K9" s="351">
        <f t="shared" si="3"/>
        <v>3204522</v>
      </c>
      <c r="L9" s="293">
        <f>21.56%</f>
        <v>0.21560000000000001</v>
      </c>
      <c r="N9" s="293">
        <f>C9/C6</f>
        <v>0.27610000000000001</v>
      </c>
      <c r="P9" s="361"/>
      <c r="Q9" s="58"/>
    </row>
    <row r="10" spans="2:17" ht="16.2" thickBot="1" x14ac:dyDescent="0.35">
      <c r="B10" s="45" t="s">
        <v>130</v>
      </c>
      <c r="C10" s="51">
        <f>ROUNDDOWN(C11+C12,0)</f>
        <v>7329809</v>
      </c>
      <c r="D10" s="55">
        <f>D11+D12</f>
        <v>2280136.3199999998</v>
      </c>
      <c r="E10" s="55">
        <f>E11+E12</f>
        <v>256784.23</v>
      </c>
      <c r="F10" s="379">
        <f>F11+F12</f>
        <v>139096.44</v>
      </c>
      <c r="G10" s="55">
        <f t="shared" ref="G10:H10" si="4">G11+G12</f>
        <v>2250819.9</v>
      </c>
      <c r="H10" s="55">
        <f t="shared" si="4"/>
        <v>2402973.81</v>
      </c>
      <c r="I10" s="55">
        <f t="shared" ref="I10:J10" si="5">I11+I12</f>
        <v>1103752.32</v>
      </c>
      <c r="J10" s="205">
        <f t="shared" si="5"/>
        <v>5304790.92</v>
      </c>
      <c r="K10" s="179">
        <f t="shared" si="3"/>
        <v>13738353</v>
      </c>
    </row>
    <row r="11" spans="2:17" ht="15.6" x14ac:dyDescent="0.3">
      <c r="B11" s="46" t="s">
        <v>131</v>
      </c>
      <c r="C11" s="375">
        <f>ROUNDDOWN(SUM(D11:H11),0)</f>
        <v>6282736</v>
      </c>
      <c r="D11" s="204">
        <f>D6*0.9</f>
        <v>1954402.56</v>
      </c>
      <c r="E11" s="329">
        <f>220142.7</f>
        <v>220142.7</v>
      </c>
      <c r="F11" s="381">
        <f>(F7+F8)*0.9</f>
        <v>119225.52</v>
      </c>
      <c r="G11" s="204">
        <f t="shared" ref="G11:H11" si="6">G6*0.9</f>
        <v>1929274.2</v>
      </c>
      <c r="H11" s="204">
        <f t="shared" si="6"/>
        <v>2059691.84</v>
      </c>
      <c r="I11" s="204">
        <f>1103752.32*(1-0.15/1.15)</f>
        <v>959784.63</v>
      </c>
      <c r="J11" s="379">
        <f>5093709.36-F11</f>
        <v>4974483.84</v>
      </c>
      <c r="K11" s="351">
        <f t="shared" si="3"/>
        <v>12217005</v>
      </c>
      <c r="L11" s="293">
        <f>90%</f>
        <v>0.9</v>
      </c>
      <c r="N11" s="293">
        <f>C11/C6</f>
        <v>0.9</v>
      </c>
      <c r="P11" s="363">
        <f>K11/K6</f>
        <v>0.99490000000000001</v>
      </c>
      <c r="Q11" s="363">
        <f>C11/C6</f>
        <v>0.9</v>
      </c>
    </row>
    <row r="12" spans="2:17" ht="16.2" thickBot="1" x14ac:dyDescent="0.35">
      <c r="B12" s="46" t="s">
        <v>132</v>
      </c>
      <c r="C12" s="375">
        <f>ROUNDDOWN(SUM(D12:H12),0)</f>
        <v>1047073</v>
      </c>
      <c r="D12" s="204">
        <f>D6*0.15</f>
        <v>325733.76000000001</v>
      </c>
      <c r="E12" s="329">
        <f>36641.53</f>
        <v>36641.53</v>
      </c>
      <c r="F12" s="381">
        <f>(F7+F8)*0.15</f>
        <v>19870.919999999998</v>
      </c>
      <c r="G12" s="204">
        <f t="shared" ref="G12:H12" si="7">G6*0.15</f>
        <v>321545.7</v>
      </c>
      <c r="H12" s="204">
        <f t="shared" si="7"/>
        <v>343281.97</v>
      </c>
      <c r="I12" s="204">
        <f>1103752.32*0.15/1.15</f>
        <v>143967.69</v>
      </c>
      <c r="J12" s="379">
        <f>350178-F12</f>
        <v>330307.08</v>
      </c>
      <c r="K12" s="351">
        <f t="shared" si="3"/>
        <v>1521348</v>
      </c>
      <c r="L12" s="293">
        <v>0.15</v>
      </c>
      <c r="N12" s="293">
        <f>C12/C6</f>
        <v>0.15</v>
      </c>
      <c r="P12" s="363">
        <f>K12/K6</f>
        <v>0.1239</v>
      </c>
      <c r="Q12" s="363">
        <f>C12/C6</f>
        <v>0.15</v>
      </c>
    </row>
    <row r="13" spans="2:17" ht="16.2" thickBot="1" x14ac:dyDescent="0.35">
      <c r="B13" s="45" t="s">
        <v>133</v>
      </c>
      <c r="C13" s="51">
        <f>ROUNDDOWN(SUM(D13:H13),0)</f>
        <v>16237708</v>
      </c>
      <c r="D13" s="55">
        <f t="shared" ref="D13:J13" si="8">D10+D9+D6+D4</f>
        <v>5065281.7699999996</v>
      </c>
      <c r="E13" s="55">
        <f t="shared" si="8"/>
        <v>560775.81000000006</v>
      </c>
      <c r="F13" s="379">
        <f>F10+F9+F6+F4</f>
        <v>299388.53000000003</v>
      </c>
      <c r="G13" s="55">
        <f t="shared" si="8"/>
        <v>5001014.3</v>
      </c>
      <c r="H13" s="55">
        <f t="shared" si="8"/>
        <v>5311247.6100000003</v>
      </c>
      <c r="I13" s="55">
        <f t="shared" si="8"/>
        <v>2641162.23</v>
      </c>
      <c r="J13" s="205">
        <f t="shared" si="8"/>
        <v>13260443.970000001</v>
      </c>
      <c r="K13" s="179">
        <f t="shared" si="3"/>
        <v>32139314</v>
      </c>
      <c r="L13" s="58"/>
    </row>
    <row r="14" spans="2:17" ht="16.2" thickBot="1" x14ac:dyDescent="0.35">
      <c r="B14" s="45" t="s">
        <v>134</v>
      </c>
      <c r="C14" s="51">
        <f>ROUNDDOWN(SUM(D14:H14),0)</f>
        <v>0</v>
      </c>
      <c r="D14" s="55">
        <f>D15+D16</f>
        <v>0</v>
      </c>
      <c r="E14" s="55">
        <f>E15+E16</f>
        <v>0</v>
      </c>
      <c r="F14" s="379">
        <v>0</v>
      </c>
      <c r="G14" s="55">
        <f t="shared" ref="G14:H14" si="9">G15+G16</f>
        <v>0</v>
      </c>
      <c r="H14" s="55">
        <f t="shared" si="9"/>
        <v>0</v>
      </c>
      <c r="I14" s="55">
        <f t="shared" ref="I14:J14" si="10">I15+I16</f>
        <v>0</v>
      </c>
      <c r="J14" s="205">
        <f t="shared" si="10"/>
        <v>65212796.619999997</v>
      </c>
      <c r="K14" s="179">
        <f t="shared" si="3"/>
        <v>65212796</v>
      </c>
    </row>
    <row r="15" spans="2:17" ht="15.75" hidden="1" x14ac:dyDescent="0.25">
      <c r="B15" s="46" t="s">
        <v>138</v>
      </c>
      <c r="C15" s="51">
        <f t="shared" ref="C15" si="11">SUM(D15:H15)</f>
        <v>0</v>
      </c>
      <c r="D15" s="55">
        <v>0</v>
      </c>
      <c r="E15" s="55">
        <v>0</v>
      </c>
      <c r="F15" s="379"/>
      <c r="G15" s="55">
        <v>0</v>
      </c>
      <c r="H15" s="55">
        <v>0</v>
      </c>
      <c r="I15" s="55">
        <v>0</v>
      </c>
      <c r="J15" s="205">
        <v>0</v>
      </c>
      <c r="K15" s="179">
        <f>SUM(D15:I15)</f>
        <v>0</v>
      </c>
    </row>
    <row r="16" spans="2:17" ht="16.2" thickBot="1" x14ac:dyDescent="0.35">
      <c r="B16" s="46" t="s">
        <v>139</v>
      </c>
      <c r="C16" s="51">
        <f>ROUNDDOWN(SUM(D16:H16),0)</f>
        <v>0</v>
      </c>
      <c r="D16" s="55">
        <v>0</v>
      </c>
      <c r="E16" s="55">
        <v>0</v>
      </c>
      <c r="F16" s="379">
        <v>0</v>
      </c>
      <c r="G16" s="55">
        <v>0</v>
      </c>
      <c r="H16" s="55">
        <v>0</v>
      </c>
      <c r="I16" s="55">
        <v>0</v>
      </c>
      <c r="J16" s="205">
        <v>65212796.619999997</v>
      </c>
      <c r="K16" s="179">
        <f>ROUNDDOWN(SUM(D16:J16),0)</f>
        <v>65212796</v>
      </c>
      <c r="N16" s="360"/>
    </row>
    <row r="17" spans="2:17" ht="16.2" thickBot="1" x14ac:dyDescent="0.35">
      <c r="B17" s="45" t="s">
        <v>135</v>
      </c>
      <c r="C17" s="51">
        <f>ROUNDDOWN(SUM(D17:H17),0)</f>
        <v>16237708</v>
      </c>
      <c r="D17" s="204">
        <f>D13+D14</f>
        <v>5065281.7699999996</v>
      </c>
      <c r="E17" s="329">
        <f>E13+E14</f>
        <v>560775.81000000006</v>
      </c>
      <c r="F17" s="379">
        <f>F13+F14</f>
        <v>299388.53000000003</v>
      </c>
      <c r="G17" s="204">
        <f>G13+G16</f>
        <v>5001014.3</v>
      </c>
      <c r="H17" s="204">
        <f>H13+H14</f>
        <v>5311247.6100000003</v>
      </c>
      <c r="I17" s="204">
        <f>I13+I14</f>
        <v>2641162.23</v>
      </c>
      <c r="J17" s="205">
        <f>J14+J13</f>
        <v>78473240.590000004</v>
      </c>
      <c r="K17" s="179">
        <f>ROUNDDOWN(SUM(D17:J17),0)</f>
        <v>97352110</v>
      </c>
    </row>
    <row r="18" spans="2:17" ht="16.2" thickBot="1" x14ac:dyDescent="0.35">
      <c r="B18" s="45" t="s">
        <v>311</v>
      </c>
      <c r="C18" s="51">
        <f>ROUNDDOWN(SUM(D18:H18),0)</f>
        <v>2597544</v>
      </c>
      <c r="D18" s="204">
        <f>D20-D17</f>
        <v>834718.23</v>
      </c>
      <c r="E18" s="55">
        <v>0</v>
      </c>
      <c r="F18" s="379">
        <v>0</v>
      </c>
      <c r="G18" s="55">
        <f>'Расчеты Енот и Гамбит ТТ'!F28*G17/(G17+'Бизнес-план 19 190117'!H17)</f>
        <v>871074.76</v>
      </c>
      <c r="H18" s="55">
        <f>'Расчеты Енот и Гамбит ТТ'!N28*'Бизнес-план 18 190117'!H17/('Бизнес-план 18 190117'!H17+'Бизнес-план 19 190117'!I17)</f>
        <v>891751.58</v>
      </c>
      <c r="I18" s="204">
        <f>1155201.56</f>
        <v>1155201.56</v>
      </c>
      <c r="J18" s="205">
        <f>J20-J17</f>
        <v>1018284.83</v>
      </c>
      <c r="K18" s="351">
        <f>ROUNDDOWN(SUM(D18:J18),0)</f>
        <v>4771030</v>
      </c>
      <c r="P18" s="58"/>
    </row>
    <row r="19" spans="2:17" ht="15.6" x14ac:dyDescent="0.3">
      <c r="C19" s="51"/>
      <c r="D19" s="55"/>
      <c r="E19" s="55"/>
      <c r="F19" s="379"/>
      <c r="G19" s="55"/>
      <c r="H19" s="55"/>
      <c r="I19" s="55"/>
      <c r="J19" s="205"/>
      <c r="K19" s="179"/>
    </row>
    <row r="20" spans="2:17" ht="15.6" x14ac:dyDescent="0.3">
      <c r="B20" s="47" t="s">
        <v>328</v>
      </c>
      <c r="C20" s="51">
        <f>ROUNDDOWN(SUM(D20:H20),0)</f>
        <v>17975088</v>
      </c>
      <c r="D20" s="55">
        <f>5900000</f>
        <v>5900000</v>
      </c>
      <c r="E20" s="55">
        <v>0</v>
      </c>
      <c r="F20" s="379">
        <v>0</v>
      </c>
      <c r="G20" s="329">
        <f>G17+G18</f>
        <v>5872089.0599999996</v>
      </c>
      <c r="H20" s="329">
        <f>H17+H18</f>
        <v>6202999.1900000004</v>
      </c>
      <c r="I20" s="55">
        <v>7820000</v>
      </c>
      <c r="J20" s="205">
        <f>79491525.42</f>
        <v>79491525.420000002</v>
      </c>
      <c r="K20" s="351">
        <f>ROUNDDOWN(SUM(D20:J20),0)</f>
        <v>105286613</v>
      </c>
      <c r="P20" s="58"/>
      <c r="Q20" s="362"/>
    </row>
    <row r="21" spans="2:17" ht="15" hidden="1" x14ac:dyDescent="0.25">
      <c r="D21" s="324"/>
      <c r="E21" s="324"/>
      <c r="F21" s="377"/>
      <c r="G21" s="324"/>
      <c r="H21" s="324"/>
      <c r="I21" s="324"/>
      <c r="J21" s="151"/>
      <c r="K21" s="324"/>
    </row>
    <row r="22" spans="2:17" ht="15" hidden="1" x14ac:dyDescent="0.25">
      <c r="D22" s="326">
        <f>IF(D18&gt;0,D18/D20*100,0)</f>
        <v>14.15</v>
      </c>
      <c r="E22" s="326">
        <f>IF(E18&gt;0,E18/E20*100,0)</f>
        <v>0</v>
      </c>
      <c r="F22" s="376"/>
      <c r="G22" s="326">
        <f t="shared" ref="G22:H22" si="12">IF(G18&gt;0,G18/G20*100,0)</f>
        <v>14.83</v>
      </c>
      <c r="H22" s="326">
        <f t="shared" si="12"/>
        <v>14.38</v>
      </c>
      <c r="I22" s="326">
        <f t="shared" ref="I22:K22" si="13">IF(I18&gt;0,I18/I20*100,0)</f>
        <v>14.77</v>
      </c>
      <c r="J22" s="152">
        <f t="shared" si="13"/>
        <v>1.28</v>
      </c>
      <c r="K22" s="326">
        <f t="shared" si="13"/>
        <v>4.53</v>
      </c>
    </row>
    <row r="23" spans="2:17" x14ac:dyDescent="0.3">
      <c r="D23" s="324"/>
      <c r="E23" s="324"/>
      <c r="F23" s="377"/>
      <c r="G23" s="324"/>
      <c r="H23" s="324"/>
      <c r="I23" s="324"/>
      <c r="J23" s="151"/>
      <c r="K23" s="324"/>
    </row>
    <row r="24" spans="2:17" ht="15.6" x14ac:dyDescent="0.3">
      <c r="B24" s="56" t="s">
        <v>141</v>
      </c>
      <c r="C24" s="51">
        <f t="shared" ref="C24:I24" si="14">C25/160</f>
        <v>77.150000000000006</v>
      </c>
      <c r="D24" s="55">
        <f t="shared" si="14"/>
        <v>24</v>
      </c>
      <c r="E24" s="55">
        <f t="shared" si="14"/>
        <v>4.25</v>
      </c>
      <c r="F24" s="379"/>
      <c r="G24" s="55">
        <f t="shared" si="14"/>
        <v>23.63</v>
      </c>
      <c r="H24" s="55">
        <f t="shared" si="14"/>
        <v>25.28</v>
      </c>
      <c r="I24" s="55">
        <f t="shared" si="14"/>
        <v>12.16</v>
      </c>
      <c r="J24" s="205">
        <f>J25/160-0.01</f>
        <v>23.17</v>
      </c>
      <c r="K24" s="179">
        <f>SUM(D24:J24)</f>
        <v>112.49</v>
      </c>
      <c r="P24">
        <f>ROUNDUP(K24/12,0)</f>
        <v>10</v>
      </c>
    </row>
    <row r="25" spans="2:17" ht="15.6" x14ac:dyDescent="0.3">
      <c r="B25" s="56" t="s">
        <v>287</v>
      </c>
      <c r="C25" s="182">
        <f>SUM(D25:H25)</f>
        <v>12344</v>
      </c>
      <c r="D25" s="203">
        <f>3840</f>
        <v>3840</v>
      </c>
      <c r="E25" s="328">
        <v>680</v>
      </c>
      <c r="F25" s="380">
        <v>0</v>
      </c>
      <c r="G25" s="203">
        <f>3670+110</f>
        <v>3780</v>
      </c>
      <c r="H25" s="203">
        <f>3820+224</f>
        <v>4044</v>
      </c>
      <c r="I25" s="327">
        <v>1946</v>
      </c>
      <c r="J25" s="207">
        <f>4270-561</f>
        <v>3709</v>
      </c>
      <c r="K25" s="358">
        <f>SUM(D25:J25)</f>
        <v>17999</v>
      </c>
      <c r="L25" s="182">
        <v>13600</v>
      </c>
      <c r="N25" s="182">
        <f>C25</f>
        <v>12344</v>
      </c>
      <c r="P25">
        <f>ROUNDUP(C24/5,0)</f>
        <v>16</v>
      </c>
    </row>
    <row r="26" spans="2:17" x14ac:dyDescent="0.3">
      <c r="F26" s="377"/>
      <c r="J26" s="151"/>
      <c r="K26" s="324"/>
    </row>
    <row r="27" spans="2:17" ht="15.6" x14ac:dyDescent="0.3">
      <c r="B27" s="56" t="s">
        <v>142</v>
      </c>
      <c r="C27" s="51">
        <f>ROUNDDOWN(D27+G27+H27,0)</f>
        <v>9434175</v>
      </c>
      <c r="D27" s="55">
        <f>D17-D11</f>
        <v>3110879.21</v>
      </c>
      <c r="E27" s="55"/>
      <c r="F27" s="379">
        <v>0</v>
      </c>
      <c r="G27" s="55">
        <f>G17-G11</f>
        <v>3071740.1</v>
      </c>
      <c r="H27" s="55">
        <f>H17-H11</f>
        <v>3251555.77</v>
      </c>
      <c r="I27" s="55">
        <f>6664798.44-2828280*(1-0.15/1.15)</f>
        <v>4205424.53</v>
      </c>
      <c r="J27" s="205">
        <f>J17-J11</f>
        <v>73498756.75</v>
      </c>
      <c r="K27" s="179">
        <f>ROUNDDOWN(SUM(D27:J27),0)</f>
        <v>87138356</v>
      </c>
    </row>
    <row r="28" spans="2:17" x14ac:dyDescent="0.3">
      <c r="K28" s="324"/>
    </row>
    <row r="29" spans="2:17" x14ac:dyDescent="0.3">
      <c r="B29" s="390" t="s">
        <v>378</v>
      </c>
      <c r="C29" s="379">
        <f>C25*D1</f>
        <v>6542320</v>
      </c>
      <c r="D29" s="180"/>
      <c r="E29" s="181"/>
      <c r="F29" s="181" t="s">
        <v>379</v>
      </c>
      <c r="G29" s="180"/>
      <c r="H29" s="180"/>
      <c r="I29" s="181">
        <f>I20-I27-2828280*(1-0.15/1.15)</f>
        <v>1155201.56</v>
      </c>
      <c r="J29" s="355">
        <f>J18/J20</f>
        <v>1.2800000000000001E-2</v>
      </c>
      <c r="K29" s="58"/>
    </row>
    <row r="30" spans="2:17" x14ac:dyDescent="0.3">
      <c r="C30" s="58">
        <f>C29-C7</f>
        <v>-8227</v>
      </c>
      <c r="N30" s="153"/>
    </row>
  </sheetData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2"/>
  <sheetViews>
    <sheetView workbookViewId="0">
      <selection activeCell="K16" sqref="K16"/>
    </sheetView>
  </sheetViews>
  <sheetFormatPr defaultRowHeight="14.4" x14ac:dyDescent="0.3"/>
  <cols>
    <col min="1" max="1" width="7.88671875" customWidth="1"/>
    <col min="2" max="2" width="15.44140625" bestFit="1" customWidth="1"/>
    <col min="3" max="3" width="73.33203125" bestFit="1" customWidth="1"/>
    <col min="4" max="4" width="14.33203125" bestFit="1" customWidth="1"/>
    <col min="5" max="5" width="13.109375" bestFit="1" customWidth="1"/>
    <col min="6" max="6" width="11.44140625" bestFit="1" customWidth="1"/>
    <col min="7" max="7" width="11.44140625" customWidth="1"/>
    <col min="8" max="11" width="12.44140625" bestFit="1" customWidth="1"/>
    <col min="12" max="12" width="11.44140625" bestFit="1" customWidth="1"/>
    <col min="13" max="13" width="15" customWidth="1"/>
    <col min="14" max="14" width="15.44140625" bestFit="1" customWidth="1"/>
    <col min="15" max="15" width="5.44140625" customWidth="1"/>
  </cols>
  <sheetData>
    <row r="1" spans="1:15" ht="15" x14ac:dyDescent="0.25">
      <c r="B1">
        <v>558.36</v>
      </c>
      <c r="D1" s="324"/>
      <c r="E1" s="343">
        <f>530*1.0535</f>
        <v>558.36</v>
      </c>
      <c r="F1" s="343">
        <f>530*1.0535</f>
        <v>558.36</v>
      </c>
      <c r="G1" s="376"/>
      <c r="H1" s="206">
        <f>530*1.0109</f>
        <v>535.77700000000004</v>
      </c>
      <c r="I1" s="206">
        <f>530*1.0109</f>
        <v>535.77700000000004</v>
      </c>
      <c r="J1" s="343">
        <v>558.36</v>
      </c>
      <c r="K1" s="343">
        <v>558.36</v>
      </c>
      <c r="L1" s="343">
        <v>550</v>
      </c>
      <c r="M1" s="152">
        <f>558.36</f>
        <v>558.36</v>
      </c>
      <c r="N1" s="324"/>
    </row>
    <row r="2" spans="1:15" ht="15" x14ac:dyDescent="0.25">
      <c r="B2" s="335">
        <v>7.0000000000000007E-2</v>
      </c>
      <c r="D2" s="324"/>
      <c r="E2" s="324"/>
      <c r="F2" s="324"/>
      <c r="G2" s="377"/>
      <c r="H2" s="324"/>
      <c r="I2" s="324"/>
      <c r="J2" s="324"/>
      <c r="K2" s="324"/>
      <c r="L2" s="324"/>
      <c r="M2" s="151"/>
      <c r="N2" s="324"/>
    </row>
    <row r="3" spans="1:15" ht="16.2" thickBot="1" x14ac:dyDescent="0.35">
      <c r="B3" s="50" t="s">
        <v>310</v>
      </c>
      <c r="D3" s="49" t="s">
        <v>140</v>
      </c>
      <c r="E3" s="50" t="s">
        <v>144</v>
      </c>
      <c r="F3" s="50" t="s">
        <v>237</v>
      </c>
      <c r="G3" s="378" t="s">
        <v>375</v>
      </c>
      <c r="H3" s="50" t="s">
        <v>120</v>
      </c>
      <c r="I3" s="50" t="s">
        <v>121</v>
      </c>
      <c r="J3" s="50" t="s">
        <v>238</v>
      </c>
      <c r="K3" s="50" t="s">
        <v>376</v>
      </c>
      <c r="L3" s="50" t="s">
        <v>239</v>
      </c>
      <c r="M3" s="288" t="s">
        <v>341</v>
      </c>
      <c r="N3" s="48" t="s">
        <v>124</v>
      </c>
    </row>
    <row r="4" spans="1:15" ht="16.2" thickBot="1" x14ac:dyDescent="0.35">
      <c r="C4" s="45" t="s">
        <v>125</v>
      </c>
      <c r="D4" s="51">
        <f t="shared" ref="D4:D9" si="0">SUM(E4:L4)</f>
        <v>47180000</v>
      </c>
      <c r="E4" s="52">
        <f t="shared" ref="E4:M4" si="1">E5</f>
        <v>0</v>
      </c>
      <c r="F4" s="52">
        <f t="shared" si="1"/>
        <v>0</v>
      </c>
      <c r="G4" s="379">
        <v>0</v>
      </c>
      <c r="H4" s="52">
        <f t="shared" si="1"/>
        <v>0</v>
      </c>
      <c r="I4" s="52">
        <f t="shared" si="1"/>
        <v>0</v>
      </c>
      <c r="J4" s="52">
        <f t="shared" si="1"/>
        <v>0</v>
      </c>
      <c r="K4" s="52">
        <f t="shared" si="1"/>
        <v>47180000</v>
      </c>
      <c r="L4" s="52">
        <f t="shared" si="1"/>
        <v>0</v>
      </c>
      <c r="M4" s="205">
        <f t="shared" si="1"/>
        <v>0</v>
      </c>
      <c r="N4" s="179">
        <f t="shared" ref="N4:N18" si="2">SUM(E4:M4)</f>
        <v>47180000</v>
      </c>
    </row>
    <row r="5" spans="1:15" ht="16.2" thickBot="1" x14ac:dyDescent="0.35">
      <c r="C5" s="46" t="s">
        <v>137</v>
      </c>
      <c r="D5" s="51">
        <f t="shared" si="0"/>
        <v>47180000</v>
      </c>
      <c r="E5" s="52">
        <v>0</v>
      </c>
      <c r="F5" s="52">
        <v>0</v>
      </c>
      <c r="G5" s="379">
        <v>0</v>
      </c>
      <c r="H5" s="52">
        <v>0</v>
      </c>
      <c r="I5" s="52">
        <v>0</v>
      </c>
      <c r="J5" s="52">
        <v>0</v>
      </c>
      <c r="K5" s="379">
        <v>47180000</v>
      </c>
      <c r="L5" s="52">
        <v>0</v>
      </c>
      <c r="M5" s="205">
        <v>0</v>
      </c>
      <c r="N5" s="179">
        <f t="shared" si="2"/>
        <v>47180000</v>
      </c>
    </row>
    <row r="6" spans="1:15" ht="16.2" thickBot="1" x14ac:dyDescent="0.35">
      <c r="C6" s="45" t="s">
        <v>126</v>
      </c>
      <c r="D6" s="51">
        <f t="shared" si="0"/>
        <v>19981554.710000001</v>
      </c>
      <c r="E6" s="52">
        <f>E7+E8</f>
        <v>1983500.3</v>
      </c>
      <c r="F6" s="52">
        <f>F7+F8</f>
        <v>669138.62</v>
      </c>
      <c r="G6" s="379">
        <f>G7+G8</f>
        <v>195131.58</v>
      </c>
      <c r="H6" s="52">
        <f t="shared" ref="H6:L6" si="3">H7+H8</f>
        <v>1897561.37</v>
      </c>
      <c r="I6" s="52">
        <f>I7+I8</f>
        <v>1639584.76</v>
      </c>
      <c r="J6" s="52">
        <f t="shared" si="3"/>
        <v>5221671.04</v>
      </c>
      <c r="K6" s="52">
        <f t="shared" si="3"/>
        <v>5347134.54</v>
      </c>
      <c r="L6" s="52">
        <f t="shared" si="3"/>
        <v>3027832.5</v>
      </c>
      <c r="M6" s="205">
        <f>M7+M8</f>
        <v>5161926.53</v>
      </c>
      <c r="N6" s="179">
        <f t="shared" si="2"/>
        <v>25143481.239999998</v>
      </c>
      <c r="O6" s="347"/>
    </row>
    <row r="7" spans="1:15" ht="15.6" x14ac:dyDescent="0.3">
      <c r="B7" s="182">
        <f>B1*B25</f>
        <v>27381974</v>
      </c>
      <c r="C7" s="46" t="s">
        <v>127</v>
      </c>
      <c r="D7" s="366">
        <f t="shared" si="0"/>
        <v>18674350.199999999</v>
      </c>
      <c r="E7" s="204">
        <f>E25*E1-16.6</f>
        <v>1853738.6</v>
      </c>
      <c r="F7" s="204">
        <f>F25*F1</f>
        <v>625363.19999999995</v>
      </c>
      <c r="G7" s="379">
        <v>182365.93</v>
      </c>
      <c r="H7" s="204">
        <f>H25*H1-0.02</f>
        <v>1773421.85</v>
      </c>
      <c r="I7" s="204">
        <f>I25*I1</f>
        <v>1532322.22</v>
      </c>
      <c r="J7" s="204">
        <f>J25*J1</f>
        <v>4880066.4000000004</v>
      </c>
      <c r="K7" s="204">
        <f>K25*K1</f>
        <v>4997322</v>
      </c>
      <c r="L7" s="204">
        <f>L25*L1</f>
        <v>2829750</v>
      </c>
      <c r="M7" s="205">
        <f>M25*M1</f>
        <v>4824230.4000000004</v>
      </c>
      <c r="N7" s="179">
        <f t="shared" si="2"/>
        <v>23498580.600000001</v>
      </c>
    </row>
    <row r="8" spans="1:15" ht="16.2" thickBot="1" x14ac:dyDescent="0.35">
      <c r="B8" s="182">
        <f>B7*B2</f>
        <v>1916738</v>
      </c>
      <c r="C8" s="46" t="s">
        <v>128</v>
      </c>
      <c r="D8" s="366">
        <f t="shared" si="0"/>
        <v>1307204.51</v>
      </c>
      <c r="E8" s="204">
        <f>E7*0.07</f>
        <v>129761.7</v>
      </c>
      <c r="F8" s="204">
        <f>F7*0.07</f>
        <v>43775.42</v>
      </c>
      <c r="G8" s="379">
        <v>12765.65</v>
      </c>
      <c r="H8" s="204">
        <f>H7*0.07-0.01</f>
        <v>124139.52</v>
      </c>
      <c r="I8" s="204">
        <f>I7*0.07-0.02</f>
        <v>107262.54</v>
      </c>
      <c r="J8" s="204">
        <f>J7*0.07-0.01</f>
        <v>341604.64</v>
      </c>
      <c r="K8" s="204">
        <f t="shared" ref="K8:L8" si="4">K7*0.07</f>
        <v>349812.54</v>
      </c>
      <c r="L8" s="204">
        <f t="shared" si="4"/>
        <v>198082.5</v>
      </c>
      <c r="M8" s="290">
        <f>M7*0.07</f>
        <v>337696.13</v>
      </c>
      <c r="N8" s="179">
        <f t="shared" si="2"/>
        <v>1644900.64</v>
      </c>
    </row>
    <row r="9" spans="1:15" ht="16.2" thickBot="1" x14ac:dyDescent="0.35">
      <c r="A9" s="211">
        <f>D9/D6</f>
        <v>0.2288</v>
      </c>
      <c r="B9" s="293">
        <f>21.56%</f>
        <v>0.21560000000000001</v>
      </c>
      <c r="C9" s="45" t="s">
        <v>129</v>
      </c>
      <c r="D9" s="366">
        <f t="shared" si="0"/>
        <v>4571841.1100000003</v>
      </c>
      <c r="E9" s="204">
        <f>E6*0.26-0.01</f>
        <v>515710.07</v>
      </c>
      <c r="F9" s="204">
        <f>F6*0.215</f>
        <v>143864.79999999999</v>
      </c>
      <c r="G9" s="379">
        <f>(G7+G8)*0.22</f>
        <v>42928.95</v>
      </c>
      <c r="H9" s="204">
        <f>H6*0.27-0.01</f>
        <v>512341.56</v>
      </c>
      <c r="I9" s="204">
        <f>I6*0.26-0.02</f>
        <v>426292.02</v>
      </c>
      <c r="J9" s="204">
        <f>J6*0.22-0.01</f>
        <v>1148767.6200000001</v>
      </c>
      <c r="K9" s="204">
        <f>K6*0.22-0.01</f>
        <v>1176369.5900000001</v>
      </c>
      <c r="L9" s="204">
        <f>L6*0.2</f>
        <v>605566.5</v>
      </c>
      <c r="M9" s="290">
        <f>M6*0.2269</f>
        <v>1171241.1299999999</v>
      </c>
      <c r="N9" s="179">
        <f t="shared" si="2"/>
        <v>5743082.2400000002</v>
      </c>
    </row>
    <row r="10" spans="1:15" ht="16.2" thickBot="1" x14ac:dyDescent="0.35">
      <c r="C10" s="45" t="s">
        <v>130</v>
      </c>
      <c r="D10" s="51">
        <f>D11+D12</f>
        <v>20980632.359999999</v>
      </c>
      <c r="E10" s="52">
        <f>E11+E12</f>
        <v>2082675.31</v>
      </c>
      <c r="F10" s="52">
        <f>F11+F12</f>
        <v>702595.54</v>
      </c>
      <c r="G10" s="379">
        <f>G11+G12</f>
        <v>204888.16</v>
      </c>
      <c r="H10" s="52">
        <f t="shared" ref="H10:M10" si="5">H11+H12</f>
        <v>1992439.41</v>
      </c>
      <c r="I10" s="52">
        <f t="shared" si="5"/>
        <v>1721563.98</v>
      </c>
      <c r="J10" s="52">
        <f t="shared" si="5"/>
        <v>5482754.5800000001</v>
      </c>
      <c r="K10" s="52">
        <f t="shared" si="5"/>
        <v>5614491.2599999998</v>
      </c>
      <c r="L10" s="52">
        <f t="shared" si="5"/>
        <v>3179224.12</v>
      </c>
      <c r="M10" s="205">
        <f t="shared" si="5"/>
        <v>5420022.8600000003</v>
      </c>
      <c r="N10" s="179">
        <f t="shared" si="2"/>
        <v>26400655.219999999</v>
      </c>
    </row>
    <row r="11" spans="1:15" ht="15.6" x14ac:dyDescent="0.3">
      <c r="B11" s="293">
        <f>90%</f>
        <v>0.9</v>
      </c>
      <c r="C11" s="46" t="s">
        <v>131</v>
      </c>
      <c r="D11" s="366">
        <f>SUM(E11:L11)</f>
        <v>17983399.199999999</v>
      </c>
      <c r="E11" s="204">
        <f>E6*0.9</f>
        <v>1785150.27</v>
      </c>
      <c r="F11" s="204">
        <f>F6*0.9-0.01</f>
        <v>602224.75</v>
      </c>
      <c r="G11" s="379">
        <f>(G7+G8)*0.9</f>
        <v>175618.42</v>
      </c>
      <c r="H11" s="204">
        <f>H6*0.9-0.01</f>
        <v>1707805.22</v>
      </c>
      <c r="I11" s="204">
        <f>I6*0.9</f>
        <v>1475626.28</v>
      </c>
      <c r="J11" s="204">
        <f>J6*0.9-0.01</f>
        <v>4699503.93</v>
      </c>
      <c r="K11" s="204">
        <f>K6*0.9-0.01</f>
        <v>4812421.08</v>
      </c>
      <c r="L11" s="204">
        <f>L6*0.9</f>
        <v>2725049.25</v>
      </c>
      <c r="M11" s="205">
        <f>M6*0.9</f>
        <v>4645733.88</v>
      </c>
      <c r="N11" s="179">
        <f t="shared" si="2"/>
        <v>22629133.079999998</v>
      </c>
    </row>
    <row r="12" spans="1:15" ht="16.2" thickBot="1" x14ac:dyDescent="0.35">
      <c r="B12" s="293">
        <v>0.15</v>
      </c>
      <c r="C12" s="46" t="s">
        <v>132</v>
      </c>
      <c r="D12" s="366">
        <f>SUM(E12:L12)</f>
        <v>2997233.16</v>
      </c>
      <c r="E12" s="344">
        <f>E6*0.15-0.01</f>
        <v>297525.03999999998</v>
      </c>
      <c r="F12" s="344">
        <f t="shared" ref="F12" si="6">F6*0.15</f>
        <v>100370.79</v>
      </c>
      <c r="G12" s="379">
        <f>(G7+G8)*0.15</f>
        <v>29269.74</v>
      </c>
      <c r="H12" s="204">
        <f>H6*0.15-0.02</f>
        <v>284634.19</v>
      </c>
      <c r="I12" s="204">
        <f>I6*0.15-0.01</f>
        <v>245937.7</v>
      </c>
      <c r="J12" s="204">
        <f>J6*0.15-0.01</f>
        <v>783250.65</v>
      </c>
      <c r="K12" s="204">
        <f>K6*0.15</f>
        <v>802070.18</v>
      </c>
      <c r="L12" s="204">
        <f>L6*0.15-0.01</f>
        <v>454174.87</v>
      </c>
      <c r="M12" s="205">
        <f>M6*0.15</f>
        <v>774288.98</v>
      </c>
      <c r="N12" s="179">
        <f t="shared" si="2"/>
        <v>3771522.14</v>
      </c>
    </row>
    <row r="13" spans="1:15" ht="16.2" thickBot="1" x14ac:dyDescent="0.35">
      <c r="B13" s="58"/>
      <c r="C13" s="45" t="s">
        <v>133</v>
      </c>
      <c r="D13" s="51">
        <f t="shared" ref="D13:M13" si="7">D10+D9+D6+D4</f>
        <v>92714028.180000007</v>
      </c>
      <c r="E13" s="52">
        <f t="shared" si="7"/>
        <v>4581885.68</v>
      </c>
      <c r="F13" s="52">
        <f>F10+F9+F6+F4</f>
        <v>1515598.96</v>
      </c>
      <c r="G13" s="379">
        <f>G10+G9+G6+G4</f>
        <v>442948.69</v>
      </c>
      <c r="H13" s="52">
        <f t="shared" si="7"/>
        <v>4402342.34</v>
      </c>
      <c r="I13" s="52">
        <f t="shared" si="7"/>
        <v>3787440.76</v>
      </c>
      <c r="J13" s="52">
        <f t="shared" si="7"/>
        <v>11853193.24</v>
      </c>
      <c r="K13" s="52">
        <f t="shared" si="7"/>
        <v>59317995.390000001</v>
      </c>
      <c r="L13" s="52">
        <f t="shared" si="7"/>
        <v>6812623.1200000001</v>
      </c>
      <c r="M13" s="205">
        <f t="shared" si="7"/>
        <v>11753190.52</v>
      </c>
      <c r="N13" s="179">
        <f t="shared" si="2"/>
        <v>104467218.7</v>
      </c>
    </row>
    <row r="14" spans="1:15" ht="16.2" thickBot="1" x14ac:dyDescent="0.35">
      <c r="C14" s="45" t="s">
        <v>134</v>
      </c>
      <c r="D14" s="51">
        <f>SUM(E14:L14)</f>
        <v>2754210</v>
      </c>
      <c r="E14" s="52">
        <f>E15+E16</f>
        <v>0</v>
      </c>
      <c r="F14" s="52">
        <f>F15+F16</f>
        <v>0</v>
      </c>
      <c r="G14" s="379">
        <v>0</v>
      </c>
      <c r="H14" s="52">
        <f t="shared" ref="H14:M14" si="8">H15+H16</f>
        <v>280000</v>
      </c>
      <c r="I14" s="52">
        <f t="shared" si="8"/>
        <v>260000</v>
      </c>
      <c r="J14" s="52">
        <f t="shared" si="8"/>
        <v>0</v>
      </c>
      <c r="K14" s="52">
        <f t="shared" si="8"/>
        <v>2214210</v>
      </c>
      <c r="L14" s="52">
        <f t="shared" si="8"/>
        <v>0</v>
      </c>
      <c r="M14" s="205">
        <f t="shared" si="8"/>
        <v>32941666.66</v>
      </c>
      <c r="N14" s="179">
        <f t="shared" si="2"/>
        <v>35695876.659999996</v>
      </c>
    </row>
    <row r="15" spans="1:15" ht="15.75" hidden="1" x14ac:dyDescent="0.25">
      <c r="C15" s="46" t="s">
        <v>138</v>
      </c>
      <c r="D15" s="51">
        <f>SUM(E15:L15)</f>
        <v>0</v>
      </c>
      <c r="E15" s="52">
        <v>0</v>
      </c>
      <c r="F15" s="52">
        <v>0</v>
      </c>
      <c r="G15" s="379"/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205">
        <v>0</v>
      </c>
      <c r="N15" s="179">
        <f t="shared" si="2"/>
        <v>0</v>
      </c>
    </row>
    <row r="16" spans="1:15" ht="16.2" thickBot="1" x14ac:dyDescent="0.35">
      <c r="C16" s="46" t="s">
        <v>139</v>
      </c>
      <c r="D16" s="51">
        <f>SUM(E16:L16)</f>
        <v>2754210</v>
      </c>
      <c r="E16" s="52">
        <v>0</v>
      </c>
      <c r="F16" s="52">
        <v>0</v>
      </c>
      <c r="G16" s="379">
        <v>0</v>
      </c>
      <c r="H16" s="204">
        <f>280000</f>
        <v>280000</v>
      </c>
      <c r="I16" s="204">
        <v>260000</v>
      </c>
      <c r="J16" s="52">
        <v>0</v>
      </c>
      <c r="K16" s="379">
        <v>2214210</v>
      </c>
      <c r="L16" s="52">
        <v>0</v>
      </c>
      <c r="M16" s="205">
        <f>M20*0.59</f>
        <v>32941666.66</v>
      </c>
      <c r="N16" s="179">
        <f t="shared" si="2"/>
        <v>35695876.659999996</v>
      </c>
    </row>
    <row r="17" spans="2:14" ht="16.2" thickBot="1" x14ac:dyDescent="0.35">
      <c r="C17" s="45" t="s">
        <v>135</v>
      </c>
      <c r="D17" s="51">
        <f t="shared" ref="D17:L17" si="9">D13+D14</f>
        <v>95468238.180000007</v>
      </c>
      <c r="E17" s="52">
        <f t="shared" si="9"/>
        <v>4581885.68</v>
      </c>
      <c r="F17" s="204">
        <f t="shared" si="9"/>
        <v>1515598.96</v>
      </c>
      <c r="G17" s="379">
        <f>G13+G14</f>
        <v>442948.69</v>
      </c>
      <c r="H17" s="52">
        <f>H13+H14</f>
        <v>4682342.34</v>
      </c>
      <c r="I17" s="52">
        <f t="shared" si="9"/>
        <v>4047440.76</v>
      </c>
      <c r="J17" s="52">
        <f t="shared" si="9"/>
        <v>11853193.24</v>
      </c>
      <c r="K17" s="204">
        <f t="shared" si="9"/>
        <v>61532205.390000001</v>
      </c>
      <c r="L17" s="204">
        <f t="shared" si="9"/>
        <v>6812623.1200000001</v>
      </c>
      <c r="M17" s="205">
        <f>M14+M13</f>
        <v>44694857.18</v>
      </c>
      <c r="N17" s="179">
        <f t="shared" si="2"/>
        <v>140163095.36000001</v>
      </c>
    </row>
    <row r="18" spans="2:14" ht="16.2" thickBot="1" x14ac:dyDescent="0.35">
      <c r="C18" s="45" t="s">
        <v>311</v>
      </c>
      <c r="D18" s="51">
        <f>SUM(E18:L18)</f>
        <v>3810782.68</v>
      </c>
      <c r="E18" s="204">
        <v>1007338.51</v>
      </c>
      <c r="F18" s="52">
        <v>0</v>
      </c>
      <c r="G18" s="379">
        <v>0</v>
      </c>
      <c r="H18" s="52">
        <f>'Расчеты Енот и Гамбит ТТ'!F28-'Бизнес-план 18 190117'!G18</f>
        <v>815568.6</v>
      </c>
      <c r="I18" s="52">
        <f>'Расчеты Енот и Гамбит ТТ'!N28-'Бизнес-план 18 190117'!H18</f>
        <v>679560.05</v>
      </c>
      <c r="J18" s="52">
        <v>0</v>
      </c>
      <c r="K18" s="52">
        <v>0</v>
      </c>
      <c r="L18" s="52">
        <f>2195847.22*L17/(L17+'Бизнес-план 20 190117'!J17)</f>
        <v>1308315.52</v>
      </c>
      <c r="M18" s="205">
        <f>M20-M17</f>
        <v>11138476.15</v>
      </c>
      <c r="N18" s="179">
        <f t="shared" si="2"/>
        <v>14949258.83</v>
      </c>
    </row>
    <row r="19" spans="2:14" ht="15.6" x14ac:dyDescent="0.3">
      <c r="D19" s="51"/>
      <c r="E19" s="51"/>
      <c r="F19" s="52"/>
      <c r="G19" s="379"/>
      <c r="H19" s="52"/>
      <c r="I19" s="52"/>
      <c r="J19" s="52"/>
      <c r="K19" s="52"/>
      <c r="L19" s="52"/>
      <c r="M19" s="205"/>
      <c r="N19" s="179"/>
    </row>
    <row r="20" spans="2:14" ht="15.6" x14ac:dyDescent="0.3">
      <c r="C20" s="47" t="s">
        <v>328</v>
      </c>
      <c r="D20" s="51">
        <f>SUM(E20:L20)</f>
        <v>24495850.390000001</v>
      </c>
      <c r="E20" s="52">
        <f>6150000</f>
        <v>6150000</v>
      </c>
      <c r="F20" s="52">
        <v>0</v>
      </c>
      <c r="G20" s="379">
        <v>0</v>
      </c>
      <c r="H20" s="329">
        <f>H17+H18</f>
        <v>5497910.9400000004</v>
      </c>
      <c r="I20" s="329">
        <f>I17+I18</f>
        <v>4727000.8099999996</v>
      </c>
      <c r="J20" s="52">
        <v>0</v>
      </c>
      <c r="K20" s="52">
        <v>0</v>
      </c>
      <c r="L20" s="329">
        <f>L17+L18</f>
        <v>8120938.6399999997</v>
      </c>
      <c r="M20" s="205">
        <f>(15000000*3+22000000)*(1-0.2/1.2)</f>
        <v>55833333.329999998</v>
      </c>
      <c r="N20" s="179">
        <f>SUM(E20:M20)</f>
        <v>80329183.719999999</v>
      </c>
    </row>
    <row r="21" spans="2:14" ht="15" hidden="1" x14ac:dyDescent="0.25">
      <c r="D21" s="333"/>
      <c r="E21" s="333"/>
      <c r="F21" s="333"/>
      <c r="G21" s="377"/>
      <c r="H21" s="333"/>
      <c r="I21" s="333"/>
      <c r="J21" s="52"/>
      <c r="K21" s="52"/>
      <c r="L21" s="52"/>
      <c r="M21" s="151"/>
      <c r="N21" s="324"/>
    </row>
    <row r="22" spans="2:14" ht="15" hidden="1" x14ac:dyDescent="0.25">
      <c r="D22" s="333"/>
      <c r="E22" s="334">
        <f>IF(E18&gt;0,E18/E20*100,0)</f>
        <v>16.38</v>
      </c>
      <c r="F22" s="334">
        <f>IF(F18&gt;0,F18/F20*100,0)</f>
        <v>0</v>
      </c>
      <c r="G22" s="376"/>
      <c r="H22" s="334">
        <f t="shared" ref="H22:N22" si="10">IF(H18&gt;0,H18/H20*100,0)</f>
        <v>14.83</v>
      </c>
      <c r="I22" s="334">
        <f t="shared" si="10"/>
        <v>14.38</v>
      </c>
      <c r="J22" s="52">
        <f t="shared" si="10"/>
        <v>0</v>
      </c>
      <c r="K22" s="52">
        <f t="shared" si="10"/>
        <v>0</v>
      </c>
      <c r="L22" s="52">
        <f t="shared" si="10"/>
        <v>16.11</v>
      </c>
      <c r="M22" s="152">
        <f t="shared" si="10"/>
        <v>19.95</v>
      </c>
      <c r="N22" s="326">
        <f t="shared" si="10"/>
        <v>18.61</v>
      </c>
    </row>
    <row r="23" spans="2:14" x14ac:dyDescent="0.3">
      <c r="D23" s="333"/>
      <c r="E23" s="333"/>
      <c r="F23" s="333"/>
      <c r="G23" s="377"/>
      <c r="H23" s="333"/>
      <c r="I23" s="333"/>
      <c r="J23" s="52"/>
      <c r="K23" s="52"/>
      <c r="L23" s="52"/>
      <c r="M23" s="151"/>
      <c r="N23" s="324"/>
    </row>
    <row r="24" spans="2:14" ht="15.6" x14ac:dyDescent="0.3">
      <c r="C24" s="56" t="s">
        <v>141</v>
      </c>
      <c r="D24" s="51">
        <f>D25/160</f>
        <v>209.03</v>
      </c>
      <c r="E24" s="52">
        <f>E25/160</f>
        <v>20.75</v>
      </c>
      <c r="F24" s="52">
        <f>F25/160</f>
        <v>7</v>
      </c>
      <c r="G24" s="379"/>
      <c r="H24" s="52">
        <f t="shared" ref="H24:L24" si="11">H25/160</f>
        <v>20.69</v>
      </c>
      <c r="I24" s="52">
        <f t="shared" si="11"/>
        <v>17.88</v>
      </c>
      <c r="J24" s="52">
        <f t="shared" si="11"/>
        <v>54.63</v>
      </c>
      <c r="K24" s="52">
        <f t="shared" si="11"/>
        <v>55.94</v>
      </c>
      <c r="L24" s="52">
        <f t="shared" si="11"/>
        <v>32.159999999999997</v>
      </c>
      <c r="M24" s="205">
        <f>M25/160</f>
        <v>54</v>
      </c>
      <c r="N24" s="179">
        <f>N25/160</f>
        <v>263.02999999999997</v>
      </c>
    </row>
    <row r="25" spans="2:14" ht="15.6" x14ac:dyDescent="0.3">
      <c r="B25" s="182">
        <v>49040</v>
      </c>
      <c r="C25" s="56" t="s">
        <v>287</v>
      </c>
      <c r="D25" s="182">
        <f t="shared" ref="D25" si="12">SUM(E25:L25)</f>
        <v>33445</v>
      </c>
      <c r="E25" s="203">
        <v>3320</v>
      </c>
      <c r="F25" s="203">
        <v>1120</v>
      </c>
      <c r="G25" s="380">
        <v>0</v>
      </c>
      <c r="H25" s="203">
        <f>3130+180</f>
        <v>3310</v>
      </c>
      <c r="I25" s="203">
        <f>2500+360</f>
        <v>2860</v>
      </c>
      <c r="J25" s="203">
        <v>8740</v>
      </c>
      <c r="K25" s="203">
        <v>8950</v>
      </c>
      <c r="L25" s="203">
        <v>5145</v>
      </c>
      <c r="M25" s="207">
        <f>4.5*12*160</f>
        <v>8640</v>
      </c>
      <c r="N25" s="331">
        <f>SUM(E25:M25)</f>
        <v>42085</v>
      </c>
    </row>
    <row r="26" spans="2:14" x14ac:dyDescent="0.3">
      <c r="D26" s="333"/>
      <c r="E26" s="333"/>
      <c r="F26" s="333"/>
      <c r="G26" s="377"/>
      <c r="H26" s="333"/>
      <c r="I26" s="333"/>
      <c r="J26" s="333"/>
      <c r="K26" s="333"/>
      <c r="L26" s="333"/>
      <c r="M26" s="151"/>
      <c r="N26" s="324"/>
    </row>
    <row r="27" spans="2:14" ht="15.6" x14ac:dyDescent="0.3">
      <c r="C27" s="56" t="s">
        <v>142</v>
      </c>
      <c r="D27" s="51">
        <f t="shared" ref="D27" si="13">SUM(E27:L27)</f>
        <v>11935275.890000001</v>
      </c>
      <c r="E27" s="346">
        <f>E17-E11+'Бизнес-план 18 190117'!E17-'Бизнес-план 18 190117'!E11</f>
        <v>3137368.52</v>
      </c>
      <c r="F27" s="52"/>
      <c r="G27" s="379">
        <v>0</v>
      </c>
      <c r="H27" s="346">
        <f>H17-H11</f>
        <v>2974537.12</v>
      </c>
      <c r="I27" s="346">
        <f>I17-I11+'Бизнес-план 18 190117'!H17-'Бизнес-план 18 190117'!H11</f>
        <v>5823370.25</v>
      </c>
      <c r="J27" s="52"/>
      <c r="K27" s="52"/>
      <c r="L27" s="52"/>
      <c r="M27" s="205">
        <f>M17-M11</f>
        <v>40049123.299999997</v>
      </c>
      <c r="N27" s="179">
        <f>SUM(E27:M27)</f>
        <v>51984399.189999998</v>
      </c>
    </row>
    <row r="28" spans="2:14" x14ac:dyDescent="0.3">
      <c r="D28" s="324"/>
      <c r="E28" s="324"/>
      <c r="F28" s="324"/>
      <c r="G28" s="324"/>
      <c r="H28" s="324"/>
      <c r="I28" s="324"/>
      <c r="J28" s="324"/>
      <c r="K28" s="324"/>
      <c r="L28" s="324"/>
      <c r="M28" s="324"/>
      <c r="N28" s="324"/>
    </row>
    <row r="29" spans="2:14" x14ac:dyDescent="0.3">
      <c r="C29" s="390" t="s">
        <v>380</v>
      </c>
      <c r="D29" s="379">
        <f>D25*E1</f>
        <v>18674350.199999999</v>
      </c>
      <c r="E29" s="345">
        <f>E20-E27-E11-'Бизнес-план 18 190117'!E11</f>
        <v>1007338.51</v>
      </c>
      <c r="H29" s="345">
        <f>H20+'Бизнес-план 18 190117'!G20</f>
        <v>11370000</v>
      </c>
      <c r="I29" s="345">
        <f>I20+'Бизнес-план 18 190117'!H20</f>
        <v>10930000</v>
      </c>
      <c r="M29" s="355">
        <f>M18/M20</f>
        <v>0.19950000000000001</v>
      </c>
    </row>
    <row r="30" spans="2:14" x14ac:dyDescent="0.3">
      <c r="D30" s="153"/>
      <c r="K30" s="180"/>
      <c r="L30" s="180"/>
      <c r="M30" s="180"/>
    </row>
    <row r="31" spans="2:14" x14ac:dyDescent="0.3">
      <c r="D31" s="54"/>
    </row>
    <row r="33" spans="4:9" x14ac:dyDescent="0.3">
      <c r="D33" s="369"/>
    </row>
    <row r="35" spans="4:9" x14ac:dyDescent="0.3">
      <c r="D35" s="367"/>
    </row>
    <row r="42" spans="4:9" x14ac:dyDescent="0.3">
      <c r="I42" s="58"/>
    </row>
  </sheetData>
  <pageMargins left="0.7" right="0.7" top="0.75" bottom="0.75" header="0.3" footer="0.3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61"/>
  <sheetViews>
    <sheetView topLeftCell="D121" workbookViewId="0">
      <selection activeCell="W93" sqref="W93:W94"/>
    </sheetView>
  </sheetViews>
  <sheetFormatPr defaultColWidth="0.88671875" defaultRowHeight="13.2" x14ac:dyDescent="0.25"/>
  <cols>
    <col min="1" max="1" width="5.33203125" style="3" customWidth="1"/>
    <col min="2" max="2" width="38.109375" style="4" customWidth="1"/>
    <col min="3" max="3" width="10.109375" style="4" customWidth="1"/>
    <col min="4" max="4" width="7.5546875" style="3" customWidth="1"/>
    <col min="5" max="5" width="7.88671875" style="3" customWidth="1"/>
    <col min="6" max="6" width="8.6640625" style="3" customWidth="1"/>
    <col min="7" max="7" width="8.109375" style="3" customWidth="1"/>
    <col min="8" max="8" width="7.44140625" style="3" customWidth="1"/>
    <col min="9" max="9" width="7" style="3" customWidth="1"/>
    <col min="10" max="10" width="7.109375" style="3" customWidth="1"/>
    <col min="11" max="11" width="7" style="3" customWidth="1"/>
    <col min="12" max="12" width="9.44140625" style="3" hidden="1" customWidth="1"/>
    <col min="13" max="13" width="9" style="3" hidden="1" customWidth="1"/>
    <col min="14" max="14" width="10" style="3" hidden="1" customWidth="1"/>
    <col min="15" max="15" width="11.5546875" style="3" hidden="1" customWidth="1"/>
    <col min="16" max="16" width="10.6640625" style="223" customWidth="1"/>
    <col min="17" max="17" width="8.33203125" style="223" customWidth="1"/>
    <col min="18" max="19" width="10.88671875" style="223" customWidth="1"/>
    <col min="20" max="20" width="10.6640625" style="223" customWidth="1"/>
    <col min="21" max="21" width="8.33203125" style="223" customWidth="1"/>
    <col min="22" max="23" width="10.88671875" style="223" customWidth="1"/>
    <col min="24" max="24" width="10.6640625" style="223" customWidth="1"/>
    <col min="25" max="25" width="8.33203125" style="223" customWidth="1"/>
    <col min="26" max="27" width="10.88671875" style="223" customWidth="1"/>
    <col min="28" max="28" width="10.6640625" style="223" customWidth="1"/>
    <col min="29" max="29" width="8.33203125" style="223" customWidth="1"/>
    <col min="30" max="31" width="10.88671875" style="223" customWidth="1"/>
    <col min="32" max="32" width="10.6640625" style="223" customWidth="1"/>
    <col min="33" max="33" width="8.33203125" style="223" customWidth="1"/>
    <col min="34" max="35" width="10.88671875" style="223" customWidth="1"/>
    <col min="36" max="36" width="10.6640625" style="3" hidden="1" customWidth="1"/>
    <col min="37" max="37" width="8.33203125" style="3" hidden="1" customWidth="1"/>
    <col min="38" max="39" width="10.88671875" style="3" hidden="1" customWidth="1"/>
    <col min="40" max="16384" width="0.88671875" style="3"/>
  </cols>
  <sheetData>
    <row r="1" spans="1:39" s="1" customFormat="1" ht="15.75" customHeight="1" x14ac:dyDescent="0.3">
      <c r="B1" s="2"/>
      <c r="C1" s="2"/>
      <c r="R1" s="512"/>
      <c r="S1" s="512"/>
      <c r="V1" s="512"/>
      <c r="W1" s="512"/>
      <c r="Z1" s="512"/>
      <c r="AA1" s="512"/>
      <c r="AD1" s="512"/>
      <c r="AE1" s="512"/>
      <c r="AH1" s="512" t="s">
        <v>225</v>
      </c>
      <c r="AI1" s="512"/>
    </row>
    <row r="2" spans="1:39" ht="5.25" customHeight="1" x14ac:dyDescent="0.2"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9" ht="19.5" customHeight="1" x14ac:dyDescent="0.25">
      <c r="A3" s="513" t="s">
        <v>0</v>
      </c>
      <c r="B3" s="513"/>
      <c r="C3" s="513"/>
      <c r="D3" s="513"/>
      <c r="E3" s="513"/>
      <c r="F3" s="513"/>
      <c r="G3" s="513"/>
      <c r="H3" s="513"/>
      <c r="I3" s="513"/>
      <c r="J3" s="513"/>
      <c r="K3" s="513"/>
      <c r="L3" s="513"/>
      <c r="M3" s="513"/>
      <c r="N3" s="513"/>
      <c r="O3" s="513"/>
      <c r="P3" s="513"/>
      <c r="Q3" s="513"/>
      <c r="R3" s="513"/>
      <c r="S3" s="513"/>
      <c r="T3" s="513"/>
      <c r="U3" s="513"/>
      <c r="V3" s="513"/>
      <c r="W3" s="513"/>
      <c r="X3" s="513"/>
      <c r="Y3" s="513"/>
      <c r="Z3" s="513"/>
      <c r="AA3" s="513"/>
      <c r="AB3" s="513"/>
      <c r="AC3" s="513"/>
      <c r="AD3" s="513"/>
      <c r="AE3" s="513"/>
      <c r="AF3" s="513"/>
      <c r="AG3" s="513"/>
      <c r="AH3" s="513"/>
      <c r="AI3" s="513"/>
      <c r="AJ3" s="513"/>
      <c r="AK3" s="513"/>
      <c r="AL3" s="513"/>
      <c r="AM3" s="513"/>
    </row>
    <row r="4" spans="1:39" s="1" customFormat="1" ht="14.25" customHeight="1" x14ac:dyDescent="0.35">
      <c r="A4" s="198"/>
      <c r="B4" s="82"/>
      <c r="C4" s="514" t="s">
        <v>116</v>
      </c>
      <c r="D4" s="514"/>
      <c r="E4" s="514"/>
      <c r="F4" s="514"/>
      <c r="G4" s="514"/>
      <c r="H4" s="514"/>
      <c r="I4" s="514"/>
      <c r="J4" s="514"/>
      <c r="K4" s="514"/>
      <c r="L4" s="514"/>
      <c r="M4" s="514"/>
      <c r="N4" s="514"/>
      <c r="O4" s="514"/>
      <c r="P4" s="514"/>
      <c r="Q4" s="514"/>
      <c r="R4" s="514"/>
      <c r="S4" s="514"/>
      <c r="T4" s="514"/>
      <c r="U4" s="514"/>
      <c r="V4" s="514"/>
      <c r="W4" s="514"/>
      <c r="X4" s="514"/>
      <c r="Y4" s="514"/>
      <c r="Z4" s="514"/>
      <c r="AA4" s="514"/>
      <c r="AB4" s="514"/>
      <c r="AC4" s="514"/>
      <c r="AD4" s="514"/>
      <c r="AE4" s="514"/>
      <c r="AF4" s="514"/>
      <c r="AG4" s="356"/>
      <c r="AH4" s="356"/>
      <c r="AI4" s="357"/>
      <c r="AJ4" s="198"/>
      <c r="AK4" s="198"/>
      <c r="AL4" s="198"/>
      <c r="AM4" s="198"/>
    </row>
    <row r="5" spans="1:39" s="5" customFormat="1" ht="12" x14ac:dyDescent="0.25">
      <c r="B5" s="6"/>
      <c r="C5" s="515" t="s">
        <v>1</v>
      </c>
      <c r="D5" s="515"/>
      <c r="E5" s="515"/>
      <c r="F5" s="515"/>
      <c r="G5" s="515"/>
      <c r="H5" s="515"/>
      <c r="I5" s="515"/>
      <c r="J5" s="515"/>
      <c r="K5" s="515"/>
      <c r="L5" s="515"/>
      <c r="M5" s="515"/>
      <c r="N5" s="515"/>
      <c r="O5" s="515"/>
      <c r="P5" s="515"/>
      <c r="Q5" s="515"/>
      <c r="R5" s="515"/>
      <c r="S5" s="515"/>
      <c r="T5" s="515"/>
      <c r="U5" s="515"/>
      <c r="V5" s="515"/>
      <c r="W5" s="515"/>
      <c r="X5" s="515"/>
      <c r="Y5" s="515"/>
      <c r="Z5" s="515"/>
      <c r="AA5" s="515"/>
      <c r="AB5" s="515"/>
      <c r="AC5" s="515"/>
      <c r="AD5" s="515"/>
      <c r="AE5" s="515"/>
      <c r="AF5" s="515"/>
      <c r="AG5" s="356"/>
      <c r="AH5" s="356"/>
      <c r="AI5" s="357"/>
    </row>
    <row r="6" spans="1:39" s="5" customFormat="1" ht="6.75" customHeight="1" x14ac:dyDescent="0.2">
      <c r="B6" s="6"/>
      <c r="C6" s="7"/>
      <c r="D6" s="8"/>
      <c r="E6" s="8"/>
      <c r="F6" s="8"/>
      <c r="G6" s="8"/>
      <c r="H6" s="8"/>
      <c r="I6" s="8"/>
      <c r="J6" s="8"/>
      <c r="K6" s="8"/>
      <c r="L6" s="144"/>
      <c r="M6" s="144"/>
      <c r="N6" s="144"/>
      <c r="O6" s="144"/>
    </row>
    <row r="7" spans="1:39" ht="27.75" customHeight="1" x14ac:dyDescent="0.25">
      <c r="A7" s="516" t="s">
        <v>2</v>
      </c>
      <c r="B7" s="481" t="s">
        <v>3</v>
      </c>
      <c r="C7" s="518" t="s">
        <v>4</v>
      </c>
      <c r="D7" s="520" t="s">
        <v>117</v>
      </c>
      <c r="E7" s="521"/>
      <c r="F7" s="521"/>
      <c r="G7" s="521"/>
      <c r="H7" s="521"/>
      <c r="I7" s="521"/>
      <c r="J7" s="521"/>
      <c r="K7" s="521"/>
      <c r="L7" s="511" t="s">
        <v>259</v>
      </c>
      <c r="M7" s="511"/>
      <c r="N7" s="511"/>
      <c r="O7" s="511"/>
      <c r="P7" s="511" t="s">
        <v>365</v>
      </c>
      <c r="Q7" s="511"/>
      <c r="R7" s="511"/>
      <c r="S7" s="511"/>
      <c r="T7" s="511" t="s">
        <v>260</v>
      </c>
      <c r="U7" s="511"/>
      <c r="V7" s="511"/>
      <c r="W7" s="511"/>
      <c r="X7" s="511" t="s">
        <v>300</v>
      </c>
      <c r="Y7" s="511"/>
      <c r="Z7" s="511"/>
      <c r="AA7" s="511"/>
      <c r="AB7" s="511" t="s">
        <v>349</v>
      </c>
      <c r="AC7" s="511"/>
      <c r="AD7" s="511"/>
      <c r="AE7" s="511"/>
      <c r="AF7" s="511" t="s">
        <v>350</v>
      </c>
      <c r="AG7" s="511"/>
      <c r="AH7" s="511"/>
      <c r="AI7" s="511"/>
      <c r="AJ7" s="511" t="s">
        <v>260</v>
      </c>
      <c r="AK7" s="511"/>
      <c r="AL7" s="511"/>
      <c r="AM7" s="511"/>
    </row>
    <row r="8" spans="1:39" ht="55.5" customHeight="1" x14ac:dyDescent="0.25">
      <c r="A8" s="517"/>
      <c r="B8" s="481"/>
      <c r="C8" s="519"/>
      <c r="D8" s="484" t="s">
        <v>5</v>
      </c>
      <c r="E8" s="522"/>
      <c r="F8" s="522"/>
      <c r="G8" s="522"/>
      <c r="H8" s="523" t="s">
        <v>6</v>
      </c>
      <c r="I8" s="524"/>
      <c r="J8" s="524"/>
      <c r="K8" s="524"/>
      <c r="L8" s="511" t="s">
        <v>5</v>
      </c>
      <c r="M8" s="511"/>
      <c r="N8" s="511" t="s">
        <v>7</v>
      </c>
      <c r="O8" s="511"/>
      <c r="P8" s="511" t="s">
        <v>5</v>
      </c>
      <c r="Q8" s="511"/>
      <c r="R8" s="511" t="s">
        <v>7</v>
      </c>
      <c r="S8" s="511"/>
      <c r="T8" s="511" t="s">
        <v>5</v>
      </c>
      <c r="U8" s="511"/>
      <c r="V8" s="511" t="s">
        <v>7</v>
      </c>
      <c r="W8" s="511"/>
      <c r="X8" s="511" t="s">
        <v>5</v>
      </c>
      <c r="Y8" s="511"/>
      <c r="Z8" s="511" t="s">
        <v>7</v>
      </c>
      <c r="AA8" s="511"/>
      <c r="AB8" s="511" t="s">
        <v>5</v>
      </c>
      <c r="AC8" s="511"/>
      <c r="AD8" s="511" t="s">
        <v>7</v>
      </c>
      <c r="AE8" s="511"/>
      <c r="AF8" s="511" t="s">
        <v>5</v>
      </c>
      <c r="AG8" s="511"/>
      <c r="AH8" s="511" t="s">
        <v>7</v>
      </c>
      <c r="AI8" s="511"/>
      <c r="AJ8" s="511" t="s">
        <v>5</v>
      </c>
      <c r="AK8" s="511"/>
      <c r="AL8" s="511" t="s">
        <v>7</v>
      </c>
      <c r="AM8" s="511"/>
    </row>
    <row r="9" spans="1:39" ht="46.5" customHeight="1" x14ac:dyDescent="0.25">
      <c r="A9" s="517"/>
      <c r="B9" s="481"/>
      <c r="C9" s="519"/>
      <c r="D9" s="263" t="s">
        <v>9</v>
      </c>
      <c r="E9" s="264" t="s">
        <v>8</v>
      </c>
      <c r="F9" s="263" t="s">
        <v>160</v>
      </c>
      <c r="G9" s="264" t="s">
        <v>8</v>
      </c>
      <c r="H9" s="263" t="s">
        <v>9</v>
      </c>
      <c r="I9" s="264" t="s">
        <v>8</v>
      </c>
      <c r="J9" s="263" t="s">
        <v>160</v>
      </c>
      <c r="K9" s="264" t="s">
        <v>8</v>
      </c>
      <c r="L9" s="9" t="s">
        <v>9</v>
      </c>
      <c r="M9" s="10" t="s">
        <v>8</v>
      </c>
      <c r="N9" s="9" t="s">
        <v>9</v>
      </c>
      <c r="O9" s="10" t="s">
        <v>8</v>
      </c>
      <c r="P9" s="9" t="s">
        <v>9</v>
      </c>
      <c r="Q9" s="10" t="s">
        <v>8</v>
      </c>
      <c r="R9" s="9" t="s">
        <v>9</v>
      </c>
      <c r="S9" s="10" t="s">
        <v>8</v>
      </c>
      <c r="T9" s="9" t="s">
        <v>9</v>
      </c>
      <c r="U9" s="10" t="s">
        <v>8</v>
      </c>
      <c r="V9" s="9" t="s">
        <v>9</v>
      </c>
      <c r="W9" s="10" t="s">
        <v>8</v>
      </c>
      <c r="X9" s="9" t="s">
        <v>9</v>
      </c>
      <c r="Y9" s="10" t="s">
        <v>8</v>
      </c>
      <c r="Z9" s="9" t="s">
        <v>9</v>
      </c>
      <c r="AA9" s="10" t="s">
        <v>8</v>
      </c>
      <c r="AB9" s="9" t="s">
        <v>9</v>
      </c>
      <c r="AC9" s="10" t="s">
        <v>8</v>
      </c>
      <c r="AD9" s="9" t="s">
        <v>9</v>
      </c>
      <c r="AE9" s="10" t="s">
        <v>8</v>
      </c>
      <c r="AF9" s="9" t="s">
        <v>9</v>
      </c>
      <c r="AG9" s="10" t="s">
        <v>8</v>
      </c>
      <c r="AH9" s="9" t="s">
        <v>9</v>
      </c>
      <c r="AI9" s="10" t="s">
        <v>8</v>
      </c>
      <c r="AJ9" s="9" t="s">
        <v>9</v>
      </c>
      <c r="AK9" s="10" t="s">
        <v>8</v>
      </c>
      <c r="AL9" s="9" t="s">
        <v>9</v>
      </c>
      <c r="AM9" s="10" t="s">
        <v>8</v>
      </c>
    </row>
    <row r="10" spans="1:39" ht="12" customHeight="1" x14ac:dyDescent="0.2">
      <c r="A10" s="11">
        <v>1</v>
      </c>
      <c r="B10" s="265">
        <v>2</v>
      </c>
      <c r="C10" s="265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265">
        <v>13</v>
      </c>
      <c r="N10" s="265">
        <v>14</v>
      </c>
      <c r="O10" s="11">
        <v>15</v>
      </c>
      <c r="P10" s="11">
        <v>12</v>
      </c>
      <c r="Q10" s="11">
        <v>13</v>
      </c>
      <c r="R10" s="11">
        <v>14</v>
      </c>
      <c r="S10" s="191">
        <v>15</v>
      </c>
      <c r="T10" s="11">
        <v>16</v>
      </c>
      <c r="U10" s="11">
        <v>17</v>
      </c>
      <c r="V10" s="11">
        <v>18</v>
      </c>
      <c r="W10" s="191">
        <v>19</v>
      </c>
      <c r="X10" s="11">
        <v>20</v>
      </c>
      <c r="Y10" s="11">
        <v>21</v>
      </c>
      <c r="Z10" s="11">
        <v>22</v>
      </c>
      <c r="AA10" s="191">
        <v>23</v>
      </c>
      <c r="AB10" s="11">
        <v>24</v>
      </c>
      <c r="AC10" s="11">
        <v>25</v>
      </c>
      <c r="AD10" s="11">
        <v>26</v>
      </c>
      <c r="AE10" s="191">
        <v>27</v>
      </c>
      <c r="AF10" s="11">
        <v>28</v>
      </c>
      <c r="AG10" s="11">
        <v>29</v>
      </c>
      <c r="AH10" s="11">
        <v>30</v>
      </c>
      <c r="AI10" s="191">
        <v>31</v>
      </c>
      <c r="AJ10" s="11">
        <v>16</v>
      </c>
      <c r="AK10" s="11">
        <v>17</v>
      </c>
      <c r="AL10" s="11">
        <v>18</v>
      </c>
      <c r="AM10" s="191">
        <v>19</v>
      </c>
    </row>
    <row r="11" spans="1:39" ht="12.75" customHeight="1" x14ac:dyDescent="0.25">
      <c r="A11" s="482">
        <v>1</v>
      </c>
      <c r="B11" s="12" t="s">
        <v>10</v>
      </c>
      <c r="C11" s="484" t="s">
        <v>11</v>
      </c>
      <c r="D11" s="499">
        <f>46021.35</f>
        <v>46021</v>
      </c>
      <c r="E11" s="484">
        <v>0</v>
      </c>
      <c r="F11" s="499">
        <f>46021.35</f>
        <v>46021</v>
      </c>
      <c r="G11" s="484">
        <v>0</v>
      </c>
      <c r="H11" s="484">
        <v>0</v>
      </c>
      <c r="I11" s="484">
        <v>0</v>
      </c>
      <c r="J11" s="484">
        <v>0</v>
      </c>
      <c r="K11" s="484">
        <v>0</v>
      </c>
      <c r="L11" s="499">
        <f>'[1]Бизнес-план на 2018'!N20/1000</f>
        <v>58635</v>
      </c>
      <c r="M11" s="484">
        <v>0</v>
      </c>
      <c r="N11" s="499">
        <f>'[1]Бизнес-план на 2018'!C20/1000</f>
        <v>5900</v>
      </c>
      <c r="O11" s="484">
        <v>0</v>
      </c>
      <c r="P11" s="487">
        <f>'Бизнес-план 18 190117'!K20/1000</f>
        <v>105287</v>
      </c>
      <c r="Q11" s="484">
        <v>0</v>
      </c>
      <c r="R11" s="487">
        <f>'Бизнес-план 18 190117'!C20/1000</f>
        <v>17975</v>
      </c>
      <c r="S11" s="488">
        <v>0</v>
      </c>
      <c r="T11" s="487">
        <f>'Бизнес-план 19 190117'!N20/1000</f>
        <v>80329</v>
      </c>
      <c r="U11" s="484">
        <v>0</v>
      </c>
      <c r="V11" s="487">
        <f>'Бизнес-план 19 190117'!D20/1000</f>
        <v>24496</v>
      </c>
      <c r="W11" s="488">
        <v>0</v>
      </c>
      <c r="X11" s="487">
        <f>'Бизнес-план 20 190117'!L20/1000</f>
        <v>85192</v>
      </c>
      <c r="Y11" s="484">
        <v>0</v>
      </c>
      <c r="Z11" s="487">
        <f>'Бизнес-план 20 190117'!C20/1000</f>
        <v>29359</v>
      </c>
      <c r="AA11" s="488">
        <v>0</v>
      </c>
      <c r="AB11" s="487">
        <f>'Бизнес-план 21 190117'!I20/1000</f>
        <v>191903</v>
      </c>
      <c r="AC11" s="484">
        <v>0</v>
      </c>
      <c r="AD11" s="487">
        <f>'Бизнес-план 21 190117'!C20/1000</f>
        <v>136070</v>
      </c>
      <c r="AE11" s="488">
        <v>0</v>
      </c>
      <c r="AF11" s="487">
        <f>'Бизнес-план 22 190117'!H20/1000</f>
        <v>322013</v>
      </c>
      <c r="AG11" s="484">
        <v>0</v>
      </c>
      <c r="AH11" s="487">
        <f>'Бизнес-план 22 190117'!C20/1000</f>
        <v>266180</v>
      </c>
      <c r="AI11" s="488">
        <v>0</v>
      </c>
      <c r="AJ11" s="487">
        <f>'[1]Бизнес-план на 2019'!N20/1000</f>
        <v>78083</v>
      </c>
      <c r="AK11" s="484">
        <v>0</v>
      </c>
      <c r="AL11" s="487">
        <f>'[1]Бизнес-план на 2019'!C20/1000</f>
        <v>39100</v>
      </c>
      <c r="AM11" s="488">
        <v>0</v>
      </c>
    </row>
    <row r="12" spans="1:39" ht="12.75" customHeight="1" x14ac:dyDescent="0.25">
      <c r="A12" s="483"/>
      <c r="B12" s="13" t="s">
        <v>12</v>
      </c>
      <c r="C12" s="485"/>
      <c r="D12" s="500"/>
      <c r="E12" s="485"/>
      <c r="F12" s="500"/>
      <c r="G12" s="485"/>
      <c r="H12" s="485"/>
      <c r="I12" s="485"/>
      <c r="J12" s="485"/>
      <c r="K12" s="485"/>
      <c r="L12" s="500"/>
      <c r="M12" s="485"/>
      <c r="N12" s="500"/>
      <c r="O12" s="485"/>
      <c r="P12" s="487"/>
      <c r="Q12" s="485"/>
      <c r="R12" s="487"/>
      <c r="S12" s="489"/>
      <c r="T12" s="487"/>
      <c r="U12" s="485"/>
      <c r="V12" s="487"/>
      <c r="W12" s="489"/>
      <c r="X12" s="487"/>
      <c r="Y12" s="485"/>
      <c r="Z12" s="487"/>
      <c r="AA12" s="489"/>
      <c r="AB12" s="487"/>
      <c r="AC12" s="485"/>
      <c r="AD12" s="487"/>
      <c r="AE12" s="489"/>
      <c r="AF12" s="487"/>
      <c r="AG12" s="485"/>
      <c r="AH12" s="487"/>
      <c r="AI12" s="489"/>
      <c r="AJ12" s="487"/>
      <c r="AK12" s="485"/>
      <c r="AL12" s="487"/>
      <c r="AM12" s="489"/>
    </row>
    <row r="13" spans="1:39" ht="12.75" customHeight="1" x14ac:dyDescent="0.25">
      <c r="A13" s="482">
        <v>2</v>
      </c>
      <c r="B13" s="12" t="s">
        <v>13</v>
      </c>
      <c r="C13" s="484" t="s">
        <v>11</v>
      </c>
      <c r="D13" s="495">
        <f>D18</f>
        <v>1124</v>
      </c>
      <c r="E13" s="484">
        <v>0</v>
      </c>
      <c r="F13" s="495">
        <f>F18</f>
        <v>1124</v>
      </c>
      <c r="G13" s="484">
        <v>0</v>
      </c>
      <c r="H13" s="484">
        <v>0</v>
      </c>
      <c r="I13" s="484">
        <v>0</v>
      </c>
      <c r="J13" s="484">
        <v>0</v>
      </c>
      <c r="K13" s="484">
        <v>0</v>
      </c>
      <c r="L13" s="487">
        <f>L18</f>
        <v>2558</v>
      </c>
      <c r="M13" s="484">
        <v>0</v>
      </c>
      <c r="N13" s="487" t="str">
        <f>N18</f>
        <v>-</v>
      </c>
      <c r="O13" s="484">
        <v>0</v>
      </c>
      <c r="P13" s="487">
        <f>P18</f>
        <v>7522</v>
      </c>
      <c r="Q13" s="484">
        <v>0</v>
      </c>
      <c r="R13" s="487" t="s">
        <v>118</v>
      </c>
      <c r="S13" s="488">
        <v>0</v>
      </c>
      <c r="T13" s="487">
        <f>T18</f>
        <v>4894</v>
      </c>
      <c r="U13" s="484">
        <v>0</v>
      </c>
      <c r="V13" s="487" t="s">
        <v>118</v>
      </c>
      <c r="W13" s="488">
        <v>0</v>
      </c>
      <c r="X13" s="487">
        <f>X18</f>
        <v>3970</v>
      </c>
      <c r="Y13" s="484">
        <v>0</v>
      </c>
      <c r="Z13" s="487" t="s">
        <v>118</v>
      </c>
      <c r="AA13" s="488">
        <v>0</v>
      </c>
      <c r="AB13" s="487">
        <f>AB18</f>
        <v>12487</v>
      </c>
      <c r="AC13" s="484">
        <v>0</v>
      </c>
      <c r="AD13" s="487" t="s">
        <v>118</v>
      </c>
      <c r="AE13" s="488">
        <v>0</v>
      </c>
      <c r="AF13" s="487">
        <f>AF18</f>
        <v>36335</v>
      </c>
      <c r="AG13" s="484">
        <v>0</v>
      </c>
      <c r="AH13" s="487" t="s">
        <v>118</v>
      </c>
      <c r="AI13" s="488">
        <v>0</v>
      </c>
      <c r="AJ13" s="487">
        <f>AJ18</f>
        <v>2752</v>
      </c>
      <c r="AK13" s="484">
        <v>0</v>
      </c>
      <c r="AL13" s="487" t="s">
        <v>118</v>
      </c>
      <c r="AM13" s="488">
        <v>0</v>
      </c>
    </row>
    <row r="14" spans="1:39" ht="12.75" customHeight="1" x14ac:dyDescent="0.25">
      <c r="A14" s="483"/>
      <c r="B14" s="14" t="s">
        <v>14</v>
      </c>
      <c r="C14" s="485"/>
      <c r="D14" s="485"/>
      <c r="E14" s="485"/>
      <c r="F14" s="485"/>
      <c r="G14" s="485"/>
      <c r="H14" s="485"/>
      <c r="I14" s="485"/>
      <c r="J14" s="485"/>
      <c r="K14" s="485"/>
      <c r="L14" s="481"/>
      <c r="M14" s="485"/>
      <c r="N14" s="481"/>
      <c r="O14" s="485"/>
      <c r="P14" s="481"/>
      <c r="Q14" s="485"/>
      <c r="R14" s="487"/>
      <c r="S14" s="489"/>
      <c r="T14" s="481"/>
      <c r="U14" s="485"/>
      <c r="V14" s="487"/>
      <c r="W14" s="489"/>
      <c r="X14" s="481"/>
      <c r="Y14" s="485"/>
      <c r="Z14" s="487"/>
      <c r="AA14" s="489"/>
      <c r="AB14" s="481"/>
      <c r="AC14" s="485"/>
      <c r="AD14" s="487"/>
      <c r="AE14" s="489"/>
      <c r="AF14" s="481"/>
      <c r="AG14" s="485"/>
      <c r="AH14" s="487"/>
      <c r="AI14" s="489"/>
      <c r="AJ14" s="481"/>
      <c r="AK14" s="485"/>
      <c r="AL14" s="487"/>
      <c r="AM14" s="489"/>
    </row>
    <row r="15" spans="1:39" s="17" customFormat="1" ht="12.75" customHeight="1" x14ac:dyDescent="0.25">
      <c r="A15" s="15" t="s">
        <v>15</v>
      </c>
      <c r="B15" s="16" t="s">
        <v>16</v>
      </c>
      <c r="C15" s="265" t="s">
        <v>11</v>
      </c>
      <c r="D15" s="44">
        <f>D11-D24</f>
        <v>9616</v>
      </c>
      <c r="E15" s="265">
        <v>0</v>
      </c>
      <c r="F15" s="44">
        <f>F11-F24</f>
        <v>9616</v>
      </c>
      <c r="G15" s="265">
        <v>0</v>
      </c>
      <c r="H15" s="265">
        <v>0</v>
      </c>
      <c r="I15" s="265">
        <v>0</v>
      </c>
      <c r="J15" s="265">
        <v>0</v>
      </c>
      <c r="K15" s="265">
        <v>0</v>
      </c>
      <c r="L15" s="44">
        <f>L11-L24</f>
        <v>12699</v>
      </c>
      <c r="M15" s="265">
        <v>0</v>
      </c>
      <c r="N15" s="44">
        <f>N11-N24</f>
        <v>2871</v>
      </c>
      <c r="O15" s="265">
        <v>0</v>
      </c>
      <c r="P15" s="44">
        <f>P11-P24</f>
        <v>18149</v>
      </c>
      <c r="Q15" s="311">
        <v>0</v>
      </c>
      <c r="R15" s="44">
        <f>R11-R24</f>
        <v>8541</v>
      </c>
      <c r="S15" s="310">
        <v>0</v>
      </c>
      <c r="T15" s="44">
        <f>T11-T24</f>
        <v>28345</v>
      </c>
      <c r="U15" s="311">
        <v>0</v>
      </c>
      <c r="V15" s="44">
        <f>V11-V24</f>
        <v>12561</v>
      </c>
      <c r="W15" s="310">
        <v>0</v>
      </c>
      <c r="X15" s="44">
        <f>X11-X24</f>
        <v>25991</v>
      </c>
      <c r="Y15" s="311">
        <v>0</v>
      </c>
      <c r="Z15" s="44">
        <f>Z11-Z24</f>
        <v>9980</v>
      </c>
      <c r="AA15" s="310">
        <v>0</v>
      </c>
      <c r="AB15" s="44">
        <f>AB11-AB24</f>
        <v>36194</v>
      </c>
      <c r="AC15" s="265">
        <v>0</v>
      </c>
      <c r="AD15" s="44">
        <f>AD11-AD24</f>
        <v>20037</v>
      </c>
      <c r="AE15" s="249">
        <v>0</v>
      </c>
      <c r="AF15" s="44">
        <f>AF11-AF24</f>
        <v>55943</v>
      </c>
      <c r="AG15" s="265">
        <v>0</v>
      </c>
      <c r="AH15" s="44">
        <f>AH11-AH24</f>
        <v>39664</v>
      </c>
      <c r="AI15" s="249">
        <v>0</v>
      </c>
      <c r="AJ15" s="44">
        <f>AJ11-AJ24</f>
        <v>27308</v>
      </c>
      <c r="AK15" s="265">
        <v>0</v>
      </c>
      <c r="AL15" s="44">
        <f>AL11-AL24</f>
        <v>18425</v>
      </c>
      <c r="AM15" s="249">
        <v>0</v>
      </c>
    </row>
    <row r="16" spans="1:39" s="17" customFormat="1" ht="12.75" customHeight="1" x14ac:dyDescent="0.25">
      <c r="A16" s="15" t="s">
        <v>17</v>
      </c>
      <c r="B16" s="16" t="s">
        <v>18</v>
      </c>
      <c r="C16" s="265" t="s">
        <v>11</v>
      </c>
      <c r="D16" s="44">
        <f>1194</f>
        <v>1194</v>
      </c>
      <c r="E16" s="265">
        <v>0</v>
      </c>
      <c r="F16" s="44">
        <f>1194</f>
        <v>1194</v>
      </c>
      <c r="G16" s="265">
        <v>0</v>
      </c>
      <c r="H16" s="265">
        <v>0</v>
      </c>
      <c r="I16" s="265">
        <v>0</v>
      </c>
      <c r="J16" s="265">
        <v>0</v>
      </c>
      <c r="K16" s="265">
        <v>0</v>
      </c>
      <c r="L16" s="256">
        <f>L15-'[1]Бизнес-план на 2018'!N11/1000</f>
        <v>2797</v>
      </c>
      <c r="M16" s="265">
        <v>0</v>
      </c>
      <c r="N16" s="256">
        <f>N15-'[1]Бизнес-план на 2018'!C11/1000</f>
        <v>-4070</v>
      </c>
      <c r="O16" s="265">
        <v>0</v>
      </c>
      <c r="P16" s="309">
        <f>P15-'Бизнес-план 18 190117'!K11/1000</f>
        <v>5932</v>
      </c>
      <c r="Q16" s="311">
        <v>0</v>
      </c>
      <c r="R16" s="309">
        <f>R15-'Бизнес-план 18 190117'!C11/1000</f>
        <v>2258</v>
      </c>
      <c r="S16" s="310">
        <v>0</v>
      </c>
      <c r="T16" s="309">
        <f>T15-'Бизнес-план 19 190117'!N11/1000</f>
        <v>5716</v>
      </c>
      <c r="U16" s="311">
        <v>0</v>
      </c>
      <c r="V16" s="309">
        <f>V15-'Бизнес-план 19 190117'!D11/1000</f>
        <v>-5422</v>
      </c>
      <c r="W16" s="310">
        <v>0</v>
      </c>
      <c r="X16" s="309">
        <f>X15-'Бизнес-план 20 190117'!L11/1000</f>
        <v>4562</v>
      </c>
      <c r="Y16" s="311">
        <v>0</v>
      </c>
      <c r="Z16" s="309">
        <f>Z15-'Бизнес-план 20 190117'!C11/1000</f>
        <v>-6545</v>
      </c>
      <c r="AA16" s="310">
        <v>0</v>
      </c>
      <c r="AB16" s="256">
        <f>AB15-'Бизнес-план 21 190117'!I11/1000</f>
        <v>15208</v>
      </c>
      <c r="AC16" s="265">
        <v>0</v>
      </c>
      <c r="AD16" s="256">
        <f>AD15-'Бизнес-план 21 190117'!C11/1000</f>
        <v>4228</v>
      </c>
      <c r="AE16" s="249">
        <v>0</v>
      </c>
      <c r="AF16" s="256">
        <f>AF15-'Бизнес-план 22 190117'!H11/1000</f>
        <v>45018</v>
      </c>
      <c r="AG16" s="265">
        <v>0</v>
      </c>
      <c r="AH16" s="256">
        <f>AH15-'Бизнес-план 22 190117'!C11/1000</f>
        <v>34204</v>
      </c>
      <c r="AI16" s="249">
        <v>0</v>
      </c>
      <c r="AJ16" s="256">
        <f>AJ15-'[1]Бизнес-план на 2019'!N11/1000</f>
        <v>3039</v>
      </c>
      <c r="AK16" s="265">
        <v>0</v>
      </c>
      <c r="AL16" s="256">
        <f>AL15-'[1]Бизнес-план на 2019'!C11/1000</f>
        <v>-4116</v>
      </c>
      <c r="AM16" s="249">
        <v>0</v>
      </c>
    </row>
    <row r="17" spans="1:39" s="17" customFormat="1" ht="12.75" customHeight="1" x14ac:dyDescent="0.25">
      <c r="A17" s="15" t="s">
        <v>19</v>
      </c>
      <c r="B17" s="18" t="s">
        <v>20</v>
      </c>
      <c r="C17" s="265" t="s">
        <v>11</v>
      </c>
      <c r="D17" s="44">
        <f>1595</f>
        <v>1595</v>
      </c>
      <c r="E17" s="265">
        <v>0</v>
      </c>
      <c r="F17" s="44">
        <f>1595</f>
        <v>1595</v>
      </c>
      <c r="G17" s="265">
        <v>0</v>
      </c>
      <c r="H17" s="265">
        <v>0</v>
      </c>
      <c r="I17" s="265">
        <v>0</v>
      </c>
      <c r="J17" s="265">
        <v>0</v>
      </c>
      <c r="K17" s="265">
        <v>0</v>
      </c>
      <c r="L17" s="256">
        <f>L16+F17-F16</f>
        <v>3198</v>
      </c>
      <c r="M17" s="265">
        <v>0</v>
      </c>
      <c r="N17" s="256" t="s">
        <v>118</v>
      </c>
      <c r="O17" s="265">
        <v>0</v>
      </c>
      <c r="P17" s="309">
        <f>P16+3470.005</f>
        <v>9402</v>
      </c>
      <c r="Q17" s="311">
        <v>0</v>
      </c>
      <c r="R17" s="309" t="s">
        <v>118</v>
      </c>
      <c r="S17" s="310">
        <v>0</v>
      </c>
      <c r="T17" s="309">
        <f>T16+F17-F16</f>
        <v>6117</v>
      </c>
      <c r="U17" s="311">
        <v>0</v>
      </c>
      <c r="V17" s="309" t="s">
        <v>118</v>
      </c>
      <c r="W17" s="310">
        <v>0</v>
      </c>
      <c r="X17" s="309">
        <f>X16+T17-T16</f>
        <v>4963</v>
      </c>
      <c r="Y17" s="311">
        <v>0</v>
      </c>
      <c r="Z17" s="309" t="s">
        <v>118</v>
      </c>
      <c r="AA17" s="310">
        <v>0</v>
      </c>
      <c r="AB17" s="256">
        <f>AB16+F17-F16</f>
        <v>15609</v>
      </c>
      <c r="AC17" s="265">
        <v>0</v>
      </c>
      <c r="AD17" s="256" t="s">
        <v>118</v>
      </c>
      <c r="AE17" s="249">
        <v>0</v>
      </c>
      <c r="AF17" s="256">
        <f>AF16+F17-F16</f>
        <v>45419</v>
      </c>
      <c r="AG17" s="265">
        <v>0</v>
      </c>
      <c r="AH17" s="256" t="s">
        <v>118</v>
      </c>
      <c r="AI17" s="249">
        <v>0</v>
      </c>
      <c r="AJ17" s="256">
        <f>AJ16+L17-L16</f>
        <v>3440</v>
      </c>
      <c r="AK17" s="265">
        <v>0</v>
      </c>
      <c r="AL17" s="256" t="s">
        <v>118</v>
      </c>
      <c r="AM17" s="249">
        <v>0</v>
      </c>
    </row>
    <row r="18" spans="1:39" s="17" customFormat="1" ht="12.75" customHeight="1" x14ac:dyDescent="0.25">
      <c r="A18" s="15" t="s">
        <v>21</v>
      </c>
      <c r="B18" s="16" t="s">
        <v>22</v>
      </c>
      <c r="C18" s="265" t="s">
        <v>11</v>
      </c>
      <c r="D18" s="44">
        <f>1124</f>
        <v>1124</v>
      </c>
      <c r="E18" s="265">
        <v>0</v>
      </c>
      <c r="F18" s="44">
        <f>1124</f>
        <v>1124</v>
      </c>
      <c r="G18" s="265">
        <v>0</v>
      </c>
      <c r="H18" s="265">
        <v>0</v>
      </c>
      <c r="I18" s="265">
        <v>0</v>
      </c>
      <c r="J18" s="265">
        <v>0</v>
      </c>
      <c r="K18" s="265">
        <v>0</v>
      </c>
      <c r="L18" s="256">
        <f>L17*0.8</f>
        <v>2558</v>
      </c>
      <c r="M18" s="265">
        <v>0</v>
      </c>
      <c r="N18" s="256" t="str">
        <f>N17</f>
        <v>-</v>
      </c>
      <c r="O18" s="265">
        <v>0</v>
      </c>
      <c r="P18" s="309">
        <f>P17*0.8</f>
        <v>7522</v>
      </c>
      <c r="Q18" s="311">
        <v>0</v>
      </c>
      <c r="R18" s="309" t="s">
        <v>118</v>
      </c>
      <c r="S18" s="310">
        <v>0</v>
      </c>
      <c r="T18" s="309">
        <f>T17*0.8</f>
        <v>4894</v>
      </c>
      <c r="U18" s="311">
        <v>0</v>
      </c>
      <c r="V18" s="309" t="s">
        <v>118</v>
      </c>
      <c r="W18" s="310">
        <v>0</v>
      </c>
      <c r="X18" s="374">
        <f>X17*0.8</f>
        <v>3970</v>
      </c>
      <c r="Y18" s="311">
        <v>0</v>
      </c>
      <c r="Z18" s="309" t="s">
        <v>118</v>
      </c>
      <c r="AA18" s="310">
        <v>0</v>
      </c>
      <c r="AB18" s="374">
        <f>AB17*0.8</f>
        <v>12487</v>
      </c>
      <c r="AC18" s="265">
        <v>0</v>
      </c>
      <c r="AD18" s="256" t="s">
        <v>118</v>
      </c>
      <c r="AE18" s="249">
        <v>0</v>
      </c>
      <c r="AF18" s="374">
        <f>AF17*0.8</f>
        <v>36335</v>
      </c>
      <c r="AG18" s="265">
        <v>0</v>
      </c>
      <c r="AH18" s="256" t="s">
        <v>118</v>
      </c>
      <c r="AI18" s="249">
        <v>0</v>
      </c>
      <c r="AJ18" s="256">
        <f>AJ17*0.8</f>
        <v>2752</v>
      </c>
      <c r="AK18" s="265">
        <v>0</v>
      </c>
      <c r="AL18" s="256" t="s">
        <v>118</v>
      </c>
      <c r="AM18" s="249">
        <v>0</v>
      </c>
    </row>
    <row r="19" spans="1:39" s="17" customFormat="1" ht="12.75" customHeight="1" x14ac:dyDescent="0.25">
      <c r="A19" s="15">
        <v>3</v>
      </c>
      <c r="B19" s="19" t="s">
        <v>23</v>
      </c>
      <c r="C19" s="265"/>
      <c r="D19" s="265"/>
      <c r="E19" s="265"/>
      <c r="F19" s="265"/>
      <c r="G19" s="265"/>
      <c r="H19" s="265"/>
      <c r="I19" s="265"/>
      <c r="J19" s="265"/>
      <c r="K19" s="265"/>
      <c r="L19" s="256"/>
      <c r="M19" s="265"/>
      <c r="N19" s="256"/>
      <c r="O19" s="265"/>
      <c r="P19" s="309"/>
      <c r="Q19" s="311"/>
      <c r="R19" s="309"/>
      <c r="S19" s="310"/>
      <c r="T19" s="309"/>
      <c r="U19" s="311"/>
      <c r="V19" s="309"/>
      <c r="W19" s="374"/>
      <c r="X19" s="309"/>
      <c r="Y19" s="311"/>
      <c r="Z19" s="309"/>
      <c r="AA19" s="310"/>
      <c r="AB19" s="256"/>
      <c r="AC19" s="265"/>
      <c r="AD19" s="256"/>
      <c r="AE19" s="249"/>
      <c r="AF19" s="256"/>
      <c r="AG19" s="265"/>
      <c r="AH19" s="256"/>
      <c r="AI19" s="249"/>
      <c r="AJ19" s="256"/>
      <c r="AK19" s="265"/>
      <c r="AL19" s="256"/>
      <c r="AM19" s="249"/>
    </row>
    <row r="20" spans="1:39" s="17" customFormat="1" ht="12.75" customHeight="1" x14ac:dyDescent="0.25">
      <c r="A20" s="15" t="s">
        <v>24</v>
      </c>
      <c r="B20" s="16" t="s">
        <v>25</v>
      </c>
      <c r="C20" s="265" t="s">
        <v>26</v>
      </c>
      <c r="D20" s="57">
        <f>D15/D24*100</f>
        <v>26</v>
      </c>
      <c r="E20" s="265" t="s">
        <v>118</v>
      </c>
      <c r="F20" s="57">
        <f>F15/F24*100</f>
        <v>26</v>
      </c>
      <c r="G20" s="265" t="s">
        <v>118</v>
      </c>
      <c r="H20" s="265" t="s">
        <v>118</v>
      </c>
      <c r="I20" s="265" t="s">
        <v>118</v>
      </c>
      <c r="J20" s="265" t="s">
        <v>118</v>
      </c>
      <c r="K20" s="265" t="s">
        <v>118</v>
      </c>
      <c r="L20" s="44">
        <f>L15/L24*100</f>
        <v>28</v>
      </c>
      <c r="M20" s="265" t="s">
        <v>118</v>
      </c>
      <c r="N20" s="44">
        <f>N15/N24*100</f>
        <v>95</v>
      </c>
      <c r="O20" s="265" t="s">
        <v>118</v>
      </c>
      <c r="P20" s="44">
        <f>P15/P24*100</f>
        <v>21</v>
      </c>
      <c r="Q20" s="311" t="s">
        <v>118</v>
      </c>
      <c r="R20" s="44">
        <f>R15/R24*100</f>
        <v>91</v>
      </c>
      <c r="S20" s="310" t="s">
        <v>118</v>
      </c>
      <c r="T20" s="44">
        <f>T15/T24*100</f>
        <v>55</v>
      </c>
      <c r="U20" s="311" t="s">
        <v>118</v>
      </c>
      <c r="V20" s="44">
        <f>V15/V24*100</f>
        <v>105</v>
      </c>
      <c r="W20" s="310" t="s">
        <v>118</v>
      </c>
      <c r="X20" s="44">
        <f>X15/X24*100</f>
        <v>44</v>
      </c>
      <c r="Y20" s="311" t="s">
        <v>118</v>
      </c>
      <c r="Z20" s="44">
        <f>Z15/Z24*100</f>
        <v>51</v>
      </c>
      <c r="AA20" s="310" t="s">
        <v>118</v>
      </c>
      <c r="AB20" s="44">
        <f>AB15/AB24*100</f>
        <v>23</v>
      </c>
      <c r="AC20" s="265" t="s">
        <v>118</v>
      </c>
      <c r="AD20" s="44">
        <f>AD15/AD24*100</f>
        <v>17</v>
      </c>
      <c r="AE20" s="249" t="s">
        <v>118</v>
      </c>
      <c r="AF20" s="44">
        <f>AF15/AF24*100</f>
        <v>21</v>
      </c>
      <c r="AG20" s="265" t="s">
        <v>118</v>
      </c>
      <c r="AH20" s="44">
        <f>AH15/AH24*100</f>
        <v>18</v>
      </c>
      <c r="AI20" s="249" t="s">
        <v>118</v>
      </c>
      <c r="AJ20" s="44">
        <f>AJ15/AJ24*100</f>
        <v>54</v>
      </c>
      <c r="AK20" s="265" t="s">
        <v>118</v>
      </c>
      <c r="AL20" s="44">
        <f>AL15/AL24*100</f>
        <v>89</v>
      </c>
      <c r="AM20" s="249" t="s">
        <v>118</v>
      </c>
    </row>
    <row r="21" spans="1:39" s="17" customFormat="1" ht="12.75" customHeight="1" x14ac:dyDescent="0.25">
      <c r="A21" s="15" t="s">
        <v>27</v>
      </c>
      <c r="B21" s="16" t="s">
        <v>28</v>
      </c>
      <c r="C21" s="265" t="s">
        <v>26</v>
      </c>
      <c r="D21" s="57">
        <f>D16/D24*100</f>
        <v>3</v>
      </c>
      <c r="E21" s="265" t="s">
        <v>118</v>
      </c>
      <c r="F21" s="57">
        <f>F16/F24*100</f>
        <v>3</v>
      </c>
      <c r="G21" s="265" t="s">
        <v>118</v>
      </c>
      <c r="H21" s="265" t="s">
        <v>118</v>
      </c>
      <c r="I21" s="265" t="s">
        <v>118</v>
      </c>
      <c r="J21" s="265" t="s">
        <v>118</v>
      </c>
      <c r="K21" s="265" t="s">
        <v>118</v>
      </c>
      <c r="L21" s="44">
        <f>L16/L24*100</f>
        <v>6</v>
      </c>
      <c r="M21" s="265" t="s">
        <v>118</v>
      </c>
      <c r="N21" s="44" t="s">
        <v>118</v>
      </c>
      <c r="O21" s="265" t="s">
        <v>118</v>
      </c>
      <c r="P21" s="44">
        <f>P16/P24*100</f>
        <v>7</v>
      </c>
      <c r="Q21" s="311" t="s">
        <v>118</v>
      </c>
      <c r="R21" s="44" t="s">
        <v>118</v>
      </c>
      <c r="S21" s="310" t="s">
        <v>118</v>
      </c>
      <c r="T21" s="44">
        <f>T16/T24*100</f>
        <v>11</v>
      </c>
      <c r="U21" s="311" t="s">
        <v>118</v>
      </c>
      <c r="V21" s="44" t="s">
        <v>118</v>
      </c>
      <c r="W21" s="310" t="s">
        <v>118</v>
      </c>
      <c r="X21" s="44">
        <f>X16/X24*100</f>
        <v>8</v>
      </c>
      <c r="Y21" s="311" t="s">
        <v>118</v>
      </c>
      <c r="Z21" s="44" t="s">
        <v>118</v>
      </c>
      <c r="AA21" s="310" t="s">
        <v>118</v>
      </c>
      <c r="AB21" s="44">
        <f>AB16/AB24*100</f>
        <v>10</v>
      </c>
      <c r="AC21" s="265" t="s">
        <v>118</v>
      </c>
      <c r="AD21" s="44" t="s">
        <v>118</v>
      </c>
      <c r="AE21" s="249" t="s">
        <v>118</v>
      </c>
      <c r="AF21" s="44">
        <f>AF16/AF24*100</f>
        <v>17</v>
      </c>
      <c r="AG21" s="265" t="s">
        <v>118</v>
      </c>
      <c r="AH21" s="44" t="s">
        <v>118</v>
      </c>
      <c r="AI21" s="249" t="s">
        <v>118</v>
      </c>
      <c r="AJ21" s="44">
        <f>AJ16/AJ24*100</f>
        <v>6</v>
      </c>
      <c r="AK21" s="265" t="s">
        <v>118</v>
      </c>
      <c r="AL21" s="44" t="s">
        <v>118</v>
      </c>
      <c r="AM21" s="249" t="s">
        <v>118</v>
      </c>
    </row>
    <row r="22" spans="1:39" s="17" customFormat="1" ht="12.75" customHeight="1" x14ac:dyDescent="0.25">
      <c r="A22" s="15" t="s">
        <v>29</v>
      </c>
      <c r="B22" s="16" t="s">
        <v>30</v>
      </c>
      <c r="C22" s="265" t="s">
        <v>26</v>
      </c>
      <c r="D22" s="57">
        <f>D17/D24*100</f>
        <v>4</v>
      </c>
      <c r="E22" s="265" t="s">
        <v>118</v>
      </c>
      <c r="F22" s="57">
        <f>F17/F24*100</f>
        <v>4</v>
      </c>
      <c r="G22" s="265" t="s">
        <v>118</v>
      </c>
      <c r="H22" s="265" t="s">
        <v>118</v>
      </c>
      <c r="I22" s="265" t="s">
        <v>118</v>
      </c>
      <c r="J22" s="265" t="s">
        <v>118</v>
      </c>
      <c r="K22" s="265" t="s">
        <v>118</v>
      </c>
      <c r="L22" s="44">
        <f>L17/L24*100</f>
        <v>7</v>
      </c>
      <c r="M22" s="265" t="s">
        <v>118</v>
      </c>
      <c r="N22" s="44" t="s">
        <v>118</v>
      </c>
      <c r="O22" s="265" t="s">
        <v>118</v>
      </c>
      <c r="P22" s="44">
        <f>P17/P24*100</f>
        <v>11</v>
      </c>
      <c r="Q22" s="311" t="s">
        <v>118</v>
      </c>
      <c r="R22" s="309" t="s">
        <v>118</v>
      </c>
      <c r="S22" s="310" t="s">
        <v>118</v>
      </c>
      <c r="T22" s="44">
        <f>T17/T24*100</f>
        <v>12</v>
      </c>
      <c r="U22" s="311" t="s">
        <v>118</v>
      </c>
      <c r="V22" s="309" t="s">
        <v>118</v>
      </c>
      <c r="W22" s="310" t="s">
        <v>118</v>
      </c>
      <c r="X22" s="44">
        <f>X17/X24*100</f>
        <v>8</v>
      </c>
      <c r="Y22" s="311" t="s">
        <v>118</v>
      </c>
      <c r="Z22" s="309" t="s">
        <v>118</v>
      </c>
      <c r="AA22" s="310" t="s">
        <v>118</v>
      </c>
      <c r="AB22" s="44">
        <f>AB17/AB24*100</f>
        <v>10</v>
      </c>
      <c r="AC22" s="265" t="s">
        <v>118</v>
      </c>
      <c r="AD22" s="256" t="s">
        <v>118</v>
      </c>
      <c r="AE22" s="249" t="s">
        <v>118</v>
      </c>
      <c r="AF22" s="44">
        <f>AF17/AF24*100</f>
        <v>17</v>
      </c>
      <c r="AG22" s="265" t="s">
        <v>118</v>
      </c>
      <c r="AH22" s="256" t="s">
        <v>118</v>
      </c>
      <c r="AI22" s="249" t="s">
        <v>118</v>
      </c>
      <c r="AJ22" s="44">
        <f>AJ17/AJ24*100</f>
        <v>7</v>
      </c>
      <c r="AK22" s="265" t="s">
        <v>118</v>
      </c>
      <c r="AL22" s="256" t="s">
        <v>118</v>
      </c>
      <c r="AM22" s="249" t="s">
        <v>118</v>
      </c>
    </row>
    <row r="23" spans="1:39" s="17" customFormat="1" ht="12.75" customHeight="1" x14ac:dyDescent="0.25">
      <c r="A23" s="15" t="s">
        <v>31</v>
      </c>
      <c r="B23" s="16" t="s">
        <v>32</v>
      </c>
      <c r="C23" s="265" t="s">
        <v>26</v>
      </c>
      <c r="D23" s="57">
        <f>D18/D24*100</f>
        <v>3</v>
      </c>
      <c r="E23" s="265" t="s">
        <v>118</v>
      </c>
      <c r="F23" s="57">
        <f>F18/F24*100</f>
        <v>3</v>
      </c>
      <c r="G23" s="265" t="s">
        <v>118</v>
      </c>
      <c r="H23" s="265" t="s">
        <v>118</v>
      </c>
      <c r="I23" s="265" t="s">
        <v>118</v>
      </c>
      <c r="J23" s="265" t="s">
        <v>118</v>
      </c>
      <c r="K23" s="265" t="s">
        <v>118</v>
      </c>
      <c r="L23" s="44">
        <f>L18/L24*100</f>
        <v>6</v>
      </c>
      <c r="M23" s="265" t="s">
        <v>118</v>
      </c>
      <c r="N23" s="44" t="s">
        <v>118</v>
      </c>
      <c r="O23" s="265" t="s">
        <v>118</v>
      </c>
      <c r="P23" s="44">
        <f>P18/P24*100</f>
        <v>9</v>
      </c>
      <c r="Q23" s="311" t="s">
        <v>118</v>
      </c>
      <c r="R23" s="309" t="s">
        <v>118</v>
      </c>
      <c r="S23" s="310" t="s">
        <v>118</v>
      </c>
      <c r="T23" s="44">
        <f>T18/T24*100</f>
        <v>9</v>
      </c>
      <c r="U23" s="311" t="s">
        <v>118</v>
      </c>
      <c r="V23" s="309" t="s">
        <v>118</v>
      </c>
      <c r="W23" s="310" t="s">
        <v>118</v>
      </c>
      <c r="X23" s="44">
        <f>X18/X24*100</f>
        <v>7</v>
      </c>
      <c r="Y23" s="311" t="s">
        <v>118</v>
      </c>
      <c r="Z23" s="309" t="s">
        <v>118</v>
      </c>
      <c r="AA23" s="310" t="s">
        <v>118</v>
      </c>
      <c r="AB23" s="44">
        <f>AB18/AB24*100</f>
        <v>8</v>
      </c>
      <c r="AC23" s="265" t="s">
        <v>118</v>
      </c>
      <c r="AD23" s="256" t="s">
        <v>118</v>
      </c>
      <c r="AE23" s="249" t="s">
        <v>118</v>
      </c>
      <c r="AF23" s="44">
        <f>AF18/AF24*100</f>
        <v>14</v>
      </c>
      <c r="AG23" s="265" t="s">
        <v>118</v>
      </c>
      <c r="AH23" s="256" t="s">
        <v>118</v>
      </c>
      <c r="AI23" s="249" t="s">
        <v>118</v>
      </c>
      <c r="AJ23" s="44">
        <f>AJ18/AJ24*100</f>
        <v>5</v>
      </c>
      <c r="AK23" s="265" t="s">
        <v>118</v>
      </c>
      <c r="AL23" s="256" t="s">
        <v>118</v>
      </c>
      <c r="AM23" s="249" t="s">
        <v>118</v>
      </c>
    </row>
    <row r="24" spans="1:39" ht="15" customHeight="1" x14ac:dyDescent="0.25">
      <c r="A24" s="20">
        <v>4</v>
      </c>
      <c r="B24" s="19" t="s">
        <v>33</v>
      </c>
      <c r="C24" s="265" t="s">
        <v>11</v>
      </c>
      <c r="D24" s="259">
        <f>36405.15</f>
        <v>36405</v>
      </c>
      <c r="E24" s="254">
        <v>0</v>
      </c>
      <c r="F24" s="259">
        <f>36405.15</f>
        <v>36405</v>
      </c>
      <c r="G24" s="254">
        <v>0</v>
      </c>
      <c r="H24" s="254">
        <v>0</v>
      </c>
      <c r="I24" s="254">
        <v>0</v>
      </c>
      <c r="J24" s="254">
        <v>0</v>
      </c>
      <c r="K24" s="254">
        <v>0</v>
      </c>
      <c r="L24" s="256">
        <f>'[1]Бизнес-план на 2018'!N27/1000</f>
        <v>45936</v>
      </c>
      <c r="M24" s="254">
        <v>0</v>
      </c>
      <c r="N24" s="256">
        <f>'[1]Бизнес-план на 2018'!C27/1000</f>
        <v>3029</v>
      </c>
      <c r="O24" s="254">
        <v>0</v>
      </c>
      <c r="P24" s="309">
        <f>'Бизнес-план 18 190117'!K27/1000</f>
        <v>87138</v>
      </c>
      <c r="Q24" s="307">
        <v>0</v>
      </c>
      <c r="R24" s="309">
        <f>'Бизнес-план 18 190117'!C27/1000</f>
        <v>9434</v>
      </c>
      <c r="S24" s="305">
        <v>0</v>
      </c>
      <c r="T24" s="309">
        <f>'Бизнес-план 19 190117'!N27/1000</f>
        <v>51984</v>
      </c>
      <c r="U24" s="307">
        <v>0</v>
      </c>
      <c r="V24" s="309">
        <f>'Бизнес-план 19 190117'!D27/1000</f>
        <v>11935</v>
      </c>
      <c r="W24" s="305">
        <v>0</v>
      </c>
      <c r="X24" s="309">
        <f>'Бизнес-план 20 190117'!L27/1000</f>
        <v>59201</v>
      </c>
      <c r="Y24" s="307">
        <v>0</v>
      </c>
      <c r="Z24" s="309">
        <f>'Бизнес-план 20 190117'!C27/1000</f>
        <v>19379</v>
      </c>
      <c r="AA24" s="305">
        <v>0</v>
      </c>
      <c r="AB24" s="256">
        <f>'Бизнес-план 21 190117'!I27/1000</f>
        <v>155709</v>
      </c>
      <c r="AC24" s="254">
        <v>0</v>
      </c>
      <c r="AD24" s="256">
        <f>'Бизнес-план 21 190117'!C27/1000</f>
        <v>116033</v>
      </c>
      <c r="AE24" s="258">
        <v>0</v>
      </c>
      <c r="AF24" s="256">
        <f>'Бизнес-план 22 190117'!H27/1000</f>
        <v>266070</v>
      </c>
      <c r="AG24" s="254">
        <v>0</v>
      </c>
      <c r="AH24" s="256">
        <f>'Бизнес-план 22 190117'!C27/1000</f>
        <v>226516</v>
      </c>
      <c r="AI24" s="258">
        <v>0</v>
      </c>
      <c r="AJ24" s="256">
        <f>'[1]Бизнес-план на 2019'!N27/1000</f>
        <v>50775</v>
      </c>
      <c r="AK24" s="254">
        <v>0</v>
      </c>
      <c r="AL24" s="256">
        <f>'[1]Бизнес-план на 2019'!C27/1000</f>
        <v>20675</v>
      </c>
      <c r="AM24" s="258">
        <v>0</v>
      </c>
    </row>
    <row r="25" spans="1:39" s="17" customFormat="1" ht="11.25" customHeight="1" x14ac:dyDescent="0.25">
      <c r="A25" s="15"/>
      <c r="B25" s="19" t="s">
        <v>34</v>
      </c>
      <c r="C25" s="265"/>
      <c r="D25" s="265"/>
      <c r="E25" s="265"/>
      <c r="F25" s="265"/>
      <c r="G25" s="265"/>
      <c r="H25" s="265"/>
      <c r="I25" s="265"/>
      <c r="J25" s="265"/>
      <c r="K25" s="265"/>
      <c r="L25" s="256"/>
      <c r="M25" s="265"/>
      <c r="N25" s="256"/>
      <c r="O25" s="265"/>
      <c r="P25" s="309"/>
      <c r="Q25" s="311"/>
      <c r="R25" s="309"/>
      <c r="S25" s="310"/>
      <c r="T25" s="309"/>
      <c r="U25" s="311"/>
      <c r="V25" s="309"/>
      <c r="W25" s="310"/>
      <c r="X25" s="309"/>
      <c r="Y25" s="311"/>
      <c r="Z25" s="309"/>
      <c r="AA25" s="310"/>
      <c r="AB25" s="256"/>
      <c r="AC25" s="265"/>
      <c r="AD25" s="256"/>
      <c r="AE25" s="249"/>
      <c r="AF25" s="256"/>
      <c r="AG25" s="265"/>
      <c r="AH25" s="256"/>
      <c r="AI25" s="249"/>
      <c r="AJ25" s="256"/>
      <c r="AK25" s="265"/>
      <c r="AL25" s="256"/>
      <c r="AM25" s="249"/>
    </row>
    <row r="26" spans="1:39" ht="14.25" customHeight="1" x14ac:dyDescent="0.25">
      <c r="A26" s="482" t="s">
        <v>35</v>
      </c>
      <c r="B26" s="12" t="s">
        <v>36</v>
      </c>
      <c r="C26" s="484" t="s">
        <v>11</v>
      </c>
      <c r="D26" s="495">
        <f>D29+D31</f>
        <v>25849</v>
      </c>
      <c r="E26" s="484">
        <v>0</v>
      </c>
      <c r="F26" s="495">
        <f>F29+F31</f>
        <v>25849</v>
      </c>
      <c r="G26" s="484">
        <v>0</v>
      </c>
      <c r="H26" s="484">
        <v>0</v>
      </c>
      <c r="I26" s="484">
        <v>0</v>
      </c>
      <c r="J26" s="484">
        <v>0</v>
      </c>
      <c r="K26" s="484">
        <v>0</v>
      </c>
      <c r="L26" s="499">
        <f>371</f>
        <v>371</v>
      </c>
      <c r="M26" s="484">
        <v>0</v>
      </c>
      <c r="N26" s="484">
        <v>0</v>
      </c>
      <c r="O26" s="484">
        <v>0</v>
      </c>
      <c r="P26" s="487">
        <f>P29+P31</f>
        <v>68130</v>
      </c>
      <c r="Q26" s="484">
        <v>0</v>
      </c>
      <c r="R26" s="495">
        <f>R29+R31</f>
        <v>0</v>
      </c>
      <c r="S26" s="488">
        <v>0</v>
      </c>
      <c r="T26" s="495">
        <f>T29+T31</f>
        <v>33482</v>
      </c>
      <c r="U26" s="484">
        <v>0</v>
      </c>
      <c r="V26" s="495">
        <f>V29+V31</f>
        <v>540</v>
      </c>
      <c r="W26" s="488">
        <v>0</v>
      </c>
      <c r="X26" s="495">
        <f>X29+X31</f>
        <v>32855</v>
      </c>
      <c r="Y26" s="484">
        <v>0</v>
      </c>
      <c r="Z26" s="495">
        <f>Z29+Z31</f>
        <v>472</v>
      </c>
      <c r="AA26" s="488">
        <v>0</v>
      </c>
      <c r="AB26" s="495">
        <f>AB29+AB31</f>
        <v>127542</v>
      </c>
      <c r="AC26" s="484">
        <v>0</v>
      </c>
      <c r="AD26" s="495">
        <f>AD29+AD31</f>
        <v>95717</v>
      </c>
      <c r="AE26" s="488">
        <v>0</v>
      </c>
      <c r="AF26" s="495">
        <f>AF29+AF31</f>
        <v>216643</v>
      </c>
      <c r="AG26" s="484">
        <v>0</v>
      </c>
      <c r="AH26" s="495">
        <f>AH29+AH31</f>
        <v>185376</v>
      </c>
      <c r="AI26" s="488">
        <v>0</v>
      </c>
      <c r="AJ26" s="487">
        <v>0</v>
      </c>
      <c r="AK26" s="484">
        <v>0</v>
      </c>
      <c r="AL26" s="487">
        <v>0</v>
      </c>
      <c r="AM26" s="488">
        <v>0</v>
      </c>
    </row>
    <row r="27" spans="1:39" ht="14.25" customHeight="1" x14ac:dyDescent="0.25">
      <c r="A27" s="483"/>
      <c r="B27" s="13" t="s">
        <v>37</v>
      </c>
      <c r="C27" s="485"/>
      <c r="D27" s="496"/>
      <c r="E27" s="485"/>
      <c r="F27" s="496"/>
      <c r="G27" s="485"/>
      <c r="H27" s="485"/>
      <c r="I27" s="485"/>
      <c r="J27" s="485"/>
      <c r="K27" s="485"/>
      <c r="L27" s="500"/>
      <c r="M27" s="485"/>
      <c r="N27" s="485"/>
      <c r="O27" s="485"/>
      <c r="P27" s="487"/>
      <c r="Q27" s="485"/>
      <c r="R27" s="496"/>
      <c r="S27" s="489"/>
      <c r="T27" s="496"/>
      <c r="U27" s="485"/>
      <c r="V27" s="496"/>
      <c r="W27" s="489"/>
      <c r="X27" s="496"/>
      <c r="Y27" s="485"/>
      <c r="Z27" s="496"/>
      <c r="AA27" s="489"/>
      <c r="AB27" s="496"/>
      <c r="AC27" s="485"/>
      <c r="AD27" s="496"/>
      <c r="AE27" s="489"/>
      <c r="AF27" s="496"/>
      <c r="AG27" s="485"/>
      <c r="AH27" s="496"/>
      <c r="AI27" s="489"/>
      <c r="AJ27" s="487"/>
      <c r="AK27" s="485"/>
      <c r="AL27" s="487"/>
      <c r="AM27" s="489"/>
    </row>
    <row r="28" spans="1:39" s="17" customFormat="1" ht="14.25" customHeight="1" x14ac:dyDescent="0.25">
      <c r="A28" s="15"/>
      <c r="B28" s="19" t="s">
        <v>38</v>
      </c>
      <c r="C28" s="373"/>
      <c r="D28" s="373"/>
      <c r="E28" s="373"/>
      <c r="F28" s="373"/>
      <c r="G28" s="373"/>
      <c r="H28" s="373"/>
      <c r="I28" s="373"/>
      <c r="J28" s="373"/>
      <c r="K28" s="373"/>
      <c r="L28" s="371"/>
      <c r="M28" s="373"/>
      <c r="N28" s="373"/>
      <c r="O28" s="373"/>
      <c r="P28" s="371"/>
      <c r="Q28" s="373"/>
      <c r="R28" s="371"/>
      <c r="S28" s="372"/>
      <c r="T28" s="371"/>
      <c r="U28" s="373"/>
      <c r="V28" s="371"/>
      <c r="W28" s="372"/>
      <c r="X28" s="371"/>
      <c r="Y28" s="373"/>
      <c r="Z28" s="371"/>
      <c r="AA28" s="372"/>
      <c r="AB28" s="371"/>
      <c r="AC28" s="373"/>
      <c r="AD28" s="371"/>
      <c r="AE28" s="372"/>
      <c r="AF28" s="371"/>
      <c r="AG28" s="373"/>
      <c r="AH28" s="371"/>
      <c r="AI28" s="372"/>
      <c r="AJ28" s="256"/>
      <c r="AK28" s="265"/>
      <c r="AL28" s="256"/>
      <c r="AM28" s="249"/>
    </row>
    <row r="29" spans="1:39" ht="14.25" customHeight="1" x14ac:dyDescent="0.25">
      <c r="A29" s="482" t="s">
        <v>39</v>
      </c>
      <c r="B29" s="12" t="s">
        <v>40</v>
      </c>
      <c r="C29" s="484" t="s">
        <v>11</v>
      </c>
      <c r="D29" s="495">
        <v>2425</v>
      </c>
      <c r="E29" s="484">
        <v>0</v>
      </c>
      <c r="F29" s="495">
        <v>2425</v>
      </c>
      <c r="G29" s="484">
        <v>0</v>
      </c>
      <c r="H29" s="484">
        <v>0</v>
      </c>
      <c r="I29" s="484">
        <v>0</v>
      </c>
      <c r="J29" s="484">
        <v>0</v>
      </c>
      <c r="K29" s="484">
        <v>0</v>
      </c>
      <c r="L29" s="487">
        <f>371</f>
        <v>371</v>
      </c>
      <c r="M29" s="484">
        <v>0</v>
      </c>
      <c r="N29" s="484">
        <v>0</v>
      </c>
      <c r="O29" s="484">
        <v>0</v>
      </c>
      <c r="P29" s="487">
        <f>'Бизнес-план 18 190117'!K5/1000</f>
        <v>2917</v>
      </c>
      <c r="Q29" s="484">
        <v>0</v>
      </c>
      <c r="R29" s="487">
        <v>0</v>
      </c>
      <c r="S29" s="488">
        <v>0</v>
      </c>
      <c r="T29" s="487">
        <v>0</v>
      </c>
      <c r="U29" s="484">
        <v>0</v>
      </c>
      <c r="V29" s="487">
        <v>0</v>
      </c>
      <c r="W29" s="488">
        <v>0</v>
      </c>
      <c r="X29" s="487">
        <f>Z29</f>
        <v>449</v>
      </c>
      <c r="Y29" s="484">
        <v>0</v>
      </c>
      <c r="Z29" s="487">
        <f>'Бизнес-план 20 190117'!J5/1000</f>
        <v>449</v>
      </c>
      <c r="AA29" s="488">
        <v>0</v>
      </c>
      <c r="AB29" s="487">
        <f>AD29</f>
        <v>89910</v>
      </c>
      <c r="AC29" s="484">
        <v>0</v>
      </c>
      <c r="AD29" s="487">
        <f>('Бизнес-план 20 190117'!I5+'Бизнес-план 19 190117'!K5)/1000</f>
        <v>89910</v>
      </c>
      <c r="AE29" s="488">
        <v>0</v>
      </c>
      <c r="AF29" s="487">
        <f>AH29</f>
        <v>174618</v>
      </c>
      <c r="AG29" s="484">
        <v>0</v>
      </c>
      <c r="AH29" s="487">
        <f>('Бизнес-план 22 190117'!C5+'Бизнес-план 21 190117'!D5+'Бизнес-план 20 190117'!H5)/1000</f>
        <v>174618</v>
      </c>
      <c r="AI29" s="488">
        <v>0</v>
      </c>
      <c r="AJ29" s="487">
        <v>0</v>
      </c>
      <c r="AK29" s="484">
        <v>0</v>
      </c>
      <c r="AL29" s="487">
        <v>0</v>
      </c>
      <c r="AM29" s="488">
        <v>0</v>
      </c>
    </row>
    <row r="30" spans="1:39" ht="14.25" customHeight="1" x14ac:dyDescent="0.25">
      <c r="A30" s="483"/>
      <c r="B30" s="13" t="s">
        <v>41</v>
      </c>
      <c r="C30" s="485"/>
      <c r="D30" s="496"/>
      <c r="E30" s="485"/>
      <c r="F30" s="496"/>
      <c r="G30" s="485"/>
      <c r="H30" s="485"/>
      <c r="I30" s="485"/>
      <c r="J30" s="485"/>
      <c r="K30" s="485"/>
      <c r="L30" s="487"/>
      <c r="M30" s="485"/>
      <c r="N30" s="485"/>
      <c r="O30" s="485"/>
      <c r="P30" s="487"/>
      <c r="Q30" s="485"/>
      <c r="R30" s="487"/>
      <c r="S30" s="489"/>
      <c r="T30" s="487"/>
      <c r="U30" s="485"/>
      <c r="V30" s="487"/>
      <c r="W30" s="489"/>
      <c r="X30" s="487"/>
      <c r="Y30" s="485"/>
      <c r="Z30" s="487"/>
      <c r="AA30" s="489"/>
      <c r="AB30" s="487"/>
      <c r="AC30" s="485"/>
      <c r="AD30" s="487"/>
      <c r="AE30" s="489"/>
      <c r="AF30" s="487"/>
      <c r="AG30" s="485"/>
      <c r="AH30" s="487"/>
      <c r="AI30" s="489"/>
      <c r="AJ30" s="487"/>
      <c r="AK30" s="485"/>
      <c r="AL30" s="487"/>
      <c r="AM30" s="489"/>
    </row>
    <row r="31" spans="1:39" ht="14.25" customHeight="1" x14ac:dyDescent="0.25">
      <c r="A31" s="482" t="s">
        <v>42</v>
      </c>
      <c r="B31" s="12" t="s">
        <v>43</v>
      </c>
      <c r="C31" s="484" t="s">
        <v>11</v>
      </c>
      <c r="D31" s="495">
        <f>23424</f>
        <v>23424</v>
      </c>
      <c r="E31" s="484">
        <v>0</v>
      </c>
      <c r="F31" s="495">
        <f>D31</f>
        <v>23424</v>
      </c>
      <c r="G31" s="484">
        <v>0</v>
      </c>
      <c r="H31" s="484">
        <v>0</v>
      </c>
      <c r="I31" s="484">
        <v>0</v>
      </c>
      <c r="J31" s="484">
        <v>0</v>
      </c>
      <c r="K31" s="484">
        <v>0</v>
      </c>
      <c r="L31" s="484">
        <v>0</v>
      </c>
      <c r="M31" s="484">
        <v>0</v>
      </c>
      <c r="N31" s="484">
        <v>0</v>
      </c>
      <c r="O31" s="484">
        <v>0</v>
      </c>
      <c r="P31" s="487">
        <f>'Бизнес-план 18 190117'!K16/1000</f>
        <v>65213</v>
      </c>
      <c r="Q31" s="484">
        <v>0</v>
      </c>
      <c r="R31" s="487">
        <v>0</v>
      </c>
      <c r="S31" s="488">
        <v>0</v>
      </c>
      <c r="T31" s="487">
        <f>'Бизнес-план 19 190117'!N16/1000-'Бизнес-план 19 190117'!K16/1000</f>
        <v>33482</v>
      </c>
      <c r="U31" s="484">
        <v>0</v>
      </c>
      <c r="V31" s="487">
        <f>('Бизнес-план 19 190117'!D16-'Бизнес-план 19 190117'!K16)/1000</f>
        <v>540</v>
      </c>
      <c r="W31" s="488">
        <v>0</v>
      </c>
      <c r="X31" s="487">
        <f>('Бизнес-план 20 190117'!L16-'Бизнес-план 20 190117'!I16)/1000</f>
        <v>32406</v>
      </c>
      <c r="Y31" s="484">
        <v>0</v>
      </c>
      <c r="Z31" s="487">
        <f>'Бизнес-план 20 190117'!J16/1000</f>
        <v>23</v>
      </c>
      <c r="AA31" s="488">
        <v>0</v>
      </c>
      <c r="AB31" s="487">
        <f>AD31+'Бизнес-план 21 190117'!H16/1000</f>
        <v>37632</v>
      </c>
      <c r="AC31" s="484">
        <v>0</v>
      </c>
      <c r="AD31" s="487">
        <f>('Бизнес-план 20 190117'!I16+'Бизнес-план 19 190117'!K16)/1000</f>
        <v>5807</v>
      </c>
      <c r="AE31" s="488">
        <v>0</v>
      </c>
      <c r="AF31" s="487">
        <f>AH31+'Бизнес-план 22 190117'!G16/1000</f>
        <v>42025</v>
      </c>
      <c r="AG31" s="484">
        <v>0</v>
      </c>
      <c r="AH31" s="487">
        <f>('Бизнес-план 22 190117'!D16+'Бизнес-план 21 190117'!D16+'Бизнес-план 20 190117'!G16)/1000</f>
        <v>10758</v>
      </c>
      <c r="AI31" s="488">
        <v>0</v>
      </c>
      <c r="AJ31" s="487">
        <v>0</v>
      </c>
      <c r="AK31" s="484">
        <v>0</v>
      </c>
      <c r="AL31" s="487">
        <v>0</v>
      </c>
      <c r="AM31" s="488">
        <v>0</v>
      </c>
    </row>
    <row r="32" spans="1:39" ht="14.25" customHeight="1" x14ac:dyDescent="0.25">
      <c r="A32" s="483"/>
      <c r="B32" s="13" t="s">
        <v>44</v>
      </c>
      <c r="C32" s="485"/>
      <c r="D32" s="496"/>
      <c r="E32" s="485"/>
      <c r="F32" s="496"/>
      <c r="G32" s="485"/>
      <c r="H32" s="485"/>
      <c r="I32" s="485"/>
      <c r="J32" s="485"/>
      <c r="K32" s="485"/>
      <c r="L32" s="485"/>
      <c r="M32" s="485"/>
      <c r="N32" s="485"/>
      <c r="O32" s="485"/>
      <c r="P32" s="487"/>
      <c r="Q32" s="485"/>
      <c r="R32" s="487"/>
      <c r="S32" s="489"/>
      <c r="T32" s="487"/>
      <c r="U32" s="485"/>
      <c r="V32" s="487"/>
      <c r="W32" s="489"/>
      <c r="X32" s="487"/>
      <c r="Y32" s="485"/>
      <c r="Z32" s="487"/>
      <c r="AA32" s="489"/>
      <c r="AB32" s="487"/>
      <c r="AC32" s="485"/>
      <c r="AD32" s="487"/>
      <c r="AE32" s="489"/>
      <c r="AF32" s="487"/>
      <c r="AG32" s="485"/>
      <c r="AH32" s="487"/>
      <c r="AI32" s="489"/>
      <c r="AJ32" s="487"/>
      <c r="AK32" s="485"/>
      <c r="AL32" s="487"/>
      <c r="AM32" s="489"/>
    </row>
    <row r="33" spans="1:39" ht="14.25" customHeight="1" x14ac:dyDescent="0.25">
      <c r="A33" s="482" t="s">
        <v>45</v>
      </c>
      <c r="B33" s="12" t="s">
        <v>46</v>
      </c>
      <c r="C33" s="484" t="s">
        <v>11</v>
      </c>
      <c r="D33" s="484">
        <v>0</v>
      </c>
      <c r="E33" s="484">
        <v>0</v>
      </c>
      <c r="F33" s="484">
        <v>0</v>
      </c>
      <c r="G33" s="484">
        <v>0</v>
      </c>
      <c r="H33" s="484">
        <v>0</v>
      </c>
      <c r="I33" s="484">
        <v>0</v>
      </c>
      <c r="J33" s="484">
        <v>0</v>
      </c>
      <c r="K33" s="484">
        <v>0</v>
      </c>
      <c r="L33" s="484">
        <v>0</v>
      </c>
      <c r="M33" s="484">
        <v>0</v>
      </c>
      <c r="N33" s="484">
        <v>0</v>
      </c>
      <c r="O33" s="484">
        <v>0</v>
      </c>
      <c r="P33" s="487">
        <v>0</v>
      </c>
      <c r="Q33" s="484">
        <v>0</v>
      </c>
      <c r="R33" s="487">
        <v>0</v>
      </c>
      <c r="S33" s="488">
        <v>0</v>
      </c>
      <c r="T33" s="487">
        <v>0</v>
      </c>
      <c r="U33" s="484">
        <v>0</v>
      </c>
      <c r="V33" s="487">
        <v>0</v>
      </c>
      <c r="W33" s="488">
        <v>0</v>
      </c>
      <c r="X33" s="487">
        <v>0</v>
      </c>
      <c r="Y33" s="484">
        <v>0</v>
      </c>
      <c r="Z33" s="487">
        <v>0</v>
      </c>
      <c r="AA33" s="488">
        <v>0</v>
      </c>
      <c r="AB33" s="487">
        <v>0</v>
      </c>
      <c r="AC33" s="484">
        <v>0</v>
      </c>
      <c r="AD33" s="487">
        <v>0</v>
      </c>
      <c r="AE33" s="488">
        <v>0</v>
      </c>
      <c r="AF33" s="487">
        <v>0</v>
      </c>
      <c r="AG33" s="484">
        <v>0</v>
      </c>
      <c r="AH33" s="487">
        <v>0</v>
      </c>
      <c r="AI33" s="488">
        <v>0</v>
      </c>
      <c r="AJ33" s="487">
        <v>0</v>
      </c>
      <c r="AK33" s="484">
        <v>0</v>
      </c>
      <c r="AL33" s="487">
        <v>0</v>
      </c>
      <c r="AM33" s="488">
        <v>0</v>
      </c>
    </row>
    <row r="34" spans="1:39" ht="14.25" customHeight="1" x14ac:dyDescent="0.25">
      <c r="A34" s="483"/>
      <c r="B34" s="13" t="s">
        <v>47</v>
      </c>
      <c r="C34" s="485"/>
      <c r="D34" s="485"/>
      <c r="E34" s="485"/>
      <c r="F34" s="485"/>
      <c r="G34" s="485"/>
      <c r="H34" s="485"/>
      <c r="I34" s="485"/>
      <c r="J34" s="485"/>
      <c r="K34" s="485"/>
      <c r="L34" s="485"/>
      <c r="M34" s="485"/>
      <c r="N34" s="485"/>
      <c r="O34" s="485"/>
      <c r="P34" s="487"/>
      <c r="Q34" s="485"/>
      <c r="R34" s="487"/>
      <c r="S34" s="489"/>
      <c r="T34" s="487"/>
      <c r="U34" s="485"/>
      <c r="V34" s="487"/>
      <c r="W34" s="489"/>
      <c r="X34" s="487"/>
      <c r="Y34" s="485"/>
      <c r="Z34" s="487"/>
      <c r="AA34" s="489"/>
      <c r="AB34" s="487"/>
      <c r="AC34" s="485"/>
      <c r="AD34" s="487"/>
      <c r="AE34" s="489"/>
      <c r="AF34" s="487"/>
      <c r="AG34" s="485"/>
      <c r="AH34" s="487"/>
      <c r="AI34" s="489"/>
      <c r="AJ34" s="487"/>
      <c r="AK34" s="485"/>
      <c r="AL34" s="487"/>
      <c r="AM34" s="489"/>
    </row>
    <row r="35" spans="1:39" s="17" customFormat="1" ht="14.25" customHeight="1" x14ac:dyDescent="0.25">
      <c r="A35" s="15">
        <v>5</v>
      </c>
      <c r="B35" s="19" t="s">
        <v>48</v>
      </c>
      <c r="C35" s="265" t="s">
        <v>11</v>
      </c>
      <c r="D35" s="265">
        <v>0</v>
      </c>
      <c r="E35" s="265">
        <v>0</v>
      </c>
      <c r="F35" s="265">
        <v>0</v>
      </c>
      <c r="G35" s="265">
        <v>0</v>
      </c>
      <c r="H35" s="265">
        <v>0</v>
      </c>
      <c r="I35" s="265">
        <v>0</v>
      </c>
      <c r="J35" s="265">
        <v>0</v>
      </c>
      <c r="K35" s="265">
        <v>0</v>
      </c>
      <c r="L35" s="265">
        <v>0</v>
      </c>
      <c r="M35" s="265">
        <v>0</v>
      </c>
      <c r="N35" s="265">
        <v>0</v>
      </c>
      <c r="O35" s="265">
        <v>0</v>
      </c>
      <c r="P35" s="309">
        <v>0</v>
      </c>
      <c r="Q35" s="311">
        <v>0</v>
      </c>
      <c r="R35" s="309">
        <v>0</v>
      </c>
      <c r="S35" s="310">
        <v>0</v>
      </c>
      <c r="T35" s="309">
        <v>0</v>
      </c>
      <c r="U35" s="311">
        <v>0</v>
      </c>
      <c r="V35" s="309">
        <v>0</v>
      </c>
      <c r="W35" s="310">
        <v>0</v>
      </c>
      <c r="X35" s="309">
        <v>0</v>
      </c>
      <c r="Y35" s="311">
        <v>0</v>
      </c>
      <c r="Z35" s="309">
        <v>0</v>
      </c>
      <c r="AA35" s="310">
        <v>0</v>
      </c>
      <c r="AB35" s="256">
        <v>0</v>
      </c>
      <c r="AC35" s="265">
        <v>0</v>
      </c>
      <c r="AD35" s="256">
        <v>0</v>
      </c>
      <c r="AE35" s="249">
        <v>0</v>
      </c>
      <c r="AF35" s="256">
        <v>0</v>
      </c>
      <c r="AG35" s="265">
        <v>0</v>
      </c>
      <c r="AH35" s="256">
        <v>0</v>
      </c>
      <c r="AI35" s="249">
        <v>0</v>
      </c>
      <c r="AJ35" s="256">
        <v>0</v>
      </c>
      <c r="AK35" s="265">
        <v>0</v>
      </c>
      <c r="AL35" s="256">
        <v>0</v>
      </c>
      <c r="AM35" s="249">
        <v>0</v>
      </c>
    </row>
    <row r="36" spans="1:39" s="17" customFormat="1" ht="14.25" customHeight="1" x14ac:dyDescent="0.25">
      <c r="A36" s="15">
        <v>6</v>
      </c>
      <c r="B36" s="19" t="s">
        <v>49</v>
      </c>
      <c r="C36" s="265" t="s">
        <v>11</v>
      </c>
      <c r="D36" s="265">
        <v>0</v>
      </c>
      <c r="E36" s="265">
        <v>0</v>
      </c>
      <c r="F36" s="265">
        <v>0</v>
      </c>
      <c r="G36" s="265">
        <v>0</v>
      </c>
      <c r="H36" s="265">
        <v>0</v>
      </c>
      <c r="I36" s="265">
        <v>0</v>
      </c>
      <c r="J36" s="265">
        <v>0</v>
      </c>
      <c r="K36" s="265">
        <v>0</v>
      </c>
      <c r="L36" s="265">
        <v>0</v>
      </c>
      <c r="M36" s="265">
        <v>0</v>
      </c>
      <c r="N36" s="265">
        <v>0</v>
      </c>
      <c r="O36" s="265">
        <v>0</v>
      </c>
      <c r="P36" s="309">
        <v>0</v>
      </c>
      <c r="Q36" s="311">
        <v>0</v>
      </c>
      <c r="R36" s="309">
        <v>0</v>
      </c>
      <c r="S36" s="310">
        <v>0</v>
      </c>
      <c r="T36" s="309">
        <v>0</v>
      </c>
      <c r="U36" s="311">
        <v>0</v>
      </c>
      <c r="V36" s="309">
        <v>0</v>
      </c>
      <c r="W36" s="310">
        <v>0</v>
      </c>
      <c r="X36" s="309">
        <v>0</v>
      </c>
      <c r="Y36" s="311">
        <v>0</v>
      </c>
      <c r="Z36" s="309">
        <v>0</v>
      </c>
      <c r="AA36" s="310">
        <v>0</v>
      </c>
      <c r="AB36" s="256">
        <v>0</v>
      </c>
      <c r="AC36" s="265">
        <v>0</v>
      </c>
      <c r="AD36" s="256">
        <v>0</v>
      </c>
      <c r="AE36" s="249">
        <v>0</v>
      </c>
      <c r="AF36" s="256">
        <v>0</v>
      </c>
      <c r="AG36" s="265">
        <v>0</v>
      </c>
      <c r="AH36" s="256">
        <v>0</v>
      </c>
      <c r="AI36" s="249">
        <v>0</v>
      </c>
      <c r="AJ36" s="256">
        <v>0</v>
      </c>
      <c r="AK36" s="265">
        <v>0</v>
      </c>
      <c r="AL36" s="256">
        <v>0</v>
      </c>
      <c r="AM36" s="249">
        <v>0</v>
      </c>
    </row>
    <row r="37" spans="1:39" s="17" customFormat="1" ht="14.25" customHeight="1" x14ac:dyDescent="0.25">
      <c r="A37" s="15"/>
      <c r="B37" s="19" t="s">
        <v>34</v>
      </c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265"/>
      <c r="O37" s="265"/>
      <c r="P37" s="309"/>
      <c r="Q37" s="311"/>
      <c r="R37" s="309"/>
      <c r="S37" s="310"/>
      <c r="T37" s="309"/>
      <c r="U37" s="311"/>
      <c r="V37" s="309"/>
      <c r="W37" s="310"/>
      <c r="X37" s="309"/>
      <c r="Y37" s="311"/>
      <c r="Z37" s="309"/>
      <c r="AA37" s="310"/>
      <c r="AB37" s="256"/>
      <c r="AC37" s="265"/>
      <c r="AD37" s="256"/>
      <c r="AE37" s="249"/>
      <c r="AF37" s="256"/>
      <c r="AG37" s="265"/>
      <c r="AH37" s="256"/>
      <c r="AI37" s="249"/>
      <c r="AJ37" s="256"/>
      <c r="AK37" s="265"/>
      <c r="AL37" s="256"/>
      <c r="AM37" s="249"/>
    </row>
    <row r="38" spans="1:39" ht="14.25" customHeight="1" x14ac:dyDescent="0.25">
      <c r="A38" s="482" t="s">
        <v>50</v>
      </c>
      <c r="B38" s="12" t="s">
        <v>36</v>
      </c>
      <c r="C38" s="484" t="s">
        <v>11</v>
      </c>
      <c r="D38" s="484">
        <v>0</v>
      </c>
      <c r="E38" s="484">
        <v>0</v>
      </c>
      <c r="F38" s="484">
        <v>0</v>
      </c>
      <c r="G38" s="484">
        <v>0</v>
      </c>
      <c r="H38" s="484">
        <v>0</v>
      </c>
      <c r="I38" s="484">
        <v>0</v>
      </c>
      <c r="J38" s="484">
        <v>0</v>
      </c>
      <c r="K38" s="484">
        <v>0</v>
      </c>
      <c r="L38" s="484">
        <v>0</v>
      </c>
      <c r="M38" s="484">
        <v>0</v>
      </c>
      <c r="N38" s="484">
        <v>0</v>
      </c>
      <c r="O38" s="484">
        <v>0</v>
      </c>
      <c r="P38" s="487">
        <v>0</v>
      </c>
      <c r="Q38" s="484">
        <v>0</v>
      </c>
      <c r="R38" s="487">
        <v>0</v>
      </c>
      <c r="S38" s="488">
        <v>0</v>
      </c>
      <c r="T38" s="487">
        <v>0</v>
      </c>
      <c r="U38" s="484">
        <v>0</v>
      </c>
      <c r="V38" s="487">
        <v>0</v>
      </c>
      <c r="W38" s="488">
        <v>0</v>
      </c>
      <c r="X38" s="487">
        <v>0</v>
      </c>
      <c r="Y38" s="484">
        <v>0</v>
      </c>
      <c r="Z38" s="487">
        <v>0</v>
      </c>
      <c r="AA38" s="488">
        <v>0</v>
      </c>
      <c r="AB38" s="487">
        <v>0</v>
      </c>
      <c r="AC38" s="484">
        <v>0</v>
      </c>
      <c r="AD38" s="487">
        <v>0</v>
      </c>
      <c r="AE38" s="488">
        <v>0</v>
      </c>
      <c r="AF38" s="487">
        <v>0</v>
      </c>
      <c r="AG38" s="484">
        <v>0</v>
      </c>
      <c r="AH38" s="487">
        <v>0</v>
      </c>
      <c r="AI38" s="488">
        <v>0</v>
      </c>
      <c r="AJ38" s="487">
        <v>0</v>
      </c>
      <c r="AK38" s="484">
        <v>0</v>
      </c>
      <c r="AL38" s="487">
        <v>0</v>
      </c>
      <c r="AM38" s="488">
        <v>0</v>
      </c>
    </row>
    <row r="39" spans="1:39" ht="13.5" customHeight="1" x14ac:dyDescent="0.25">
      <c r="A39" s="483"/>
      <c r="B39" s="13" t="s">
        <v>37</v>
      </c>
      <c r="C39" s="485"/>
      <c r="D39" s="485"/>
      <c r="E39" s="485"/>
      <c r="F39" s="485"/>
      <c r="G39" s="485"/>
      <c r="H39" s="485"/>
      <c r="I39" s="485"/>
      <c r="J39" s="485"/>
      <c r="K39" s="485"/>
      <c r="L39" s="485"/>
      <c r="M39" s="485"/>
      <c r="N39" s="485"/>
      <c r="O39" s="485"/>
      <c r="P39" s="487"/>
      <c r="Q39" s="485"/>
      <c r="R39" s="487"/>
      <c r="S39" s="489"/>
      <c r="T39" s="487"/>
      <c r="U39" s="485"/>
      <c r="V39" s="487"/>
      <c r="W39" s="489"/>
      <c r="X39" s="487"/>
      <c r="Y39" s="485"/>
      <c r="Z39" s="487"/>
      <c r="AA39" s="489"/>
      <c r="AB39" s="487"/>
      <c r="AC39" s="485"/>
      <c r="AD39" s="487"/>
      <c r="AE39" s="489"/>
      <c r="AF39" s="487"/>
      <c r="AG39" s="485"/>
      <c r="AH39" s="487"/>
      <c r="AI39" s="489"/>
      <c r="AJ39" s="487"/>
      <c r="AK39" s="485"/>
      <c r="AL39" s="487"/>
      <c r="AM39" s="489"/>
    </row>
    <row r="40" spans="1:39" s="17" customFormat="1" ht="14.25" customHeight="1" x14ac:dyDescent="0.25">
      <c r="A40" s="15"/>
      <c r="B40" s="19" t="s">
        <v>38</v>
      </c>
      <c r="C40" s="265"/>
      <c r="D40" s="265"/>
      <c r="E40" s="265"/>
      <c r="F40" s="265"/>
      <c r="G40" s="265"/>
      <c r="H40" s="265"/>
      <c r="I40" s="265"/>
      <c r="J40" s="265"/>
      <c r="K40" s="265"/>
      <c r="L40" s="265"/>
      <c r="M40" s="265"/>
      <c r="N40" s="265"/>
      <c r="O40" s="265"/>
      <c r="P40" s="309"/>
      <c r="Q40" s="311"/>
      <c r="R40" s="309"/>
      <c r="S40" s="310"/>
      <c r="T40" s="309"/>
      <c r="U40" s="311"/>
      <c r="V40" s="309"/>
      <c r="W40" s="310"/>
      <c r="X40" s="309"/>
      <c r="Y40" s="311"/>
      <c r="Z40" s="309"/>
      <c r="AA40" s="310"/>
      <c r="AB40" s="256"/>
      <c r="AC40" s="265"/>
      <c r="AD40" s="256"/>
      <c r="AE40" s="249"/>
      <c r="AF40" s="256"/>
      <c r="AG40" s="265"/>
      <c r="AH40" s="256"/>
      <c r="AI40" s="249"/>
      <c r="AJ40" s="256"/>
      <c r="AK40" s="265"/>
      <c r="AL40" s="256"/>
      <c r="AM40" s="249"/>
    </row>
    <row r="41" spans="1:39" ht="14.25" customHeight="1" x14ac:dyDescent="0.25">
      <c r="A41" s="482" t="s">
        <v>51</v>
      </c>
      <c r="B41" s="12" t="s">
        <v>40</v>
      </c>
      <c r="C41" s="484" t="s">
        <v>11</v>
      </c>
      <c r="D41" s="484">
        <v>0</v>
      </c>
      <c r="E41" s="484">
        <v>0</v>
      </c>
      <c r="F41" s="484">
        <v>0</v>
      </c>
      <c r="G41" s="484">
        <v>0</v>
      </c>
      <c r="H41" s="484">
        <v>0</v>
      </c>
      <c r="I41" s="484">
        <v>0</v>
      </c>
      <c r="J41" s="484">
        <v>0</v>
      </c>
      <c r="K41" s="484">
        <v>0</v>
      </c>
      <c r="L41" s="484">
        <v>0</v>
      </c>
      <c r="M41" s="484">
        <v>0</v>
      </c>
      <c r="N41" s="484">
        <v>0</v>
      </c>
      <c r="O41" s="484">
        <v>0</v>
      </c>
      <c r="P41" s="487">
        <v>0</v>
      </c>
      <c r="Q41" s="484">
        <v>0</v>
      </c>
      <c r="R41" s="487">
        <v>0</v>
      </c>
      <c r="S41" s="488">
        <v>0</v>
      </c>
      <c r="T41" s="487">
        <v>0</v>
      </c>
      <c r="U41" s="484">
        <v>0</v>
      </c>
      <c r="V41" s="487">
        <v>0</v>
      </c>
      <c r="W41" s="488">
        <v>0</v>
      </c>
      <c r="X41" s="487">
        <v>0</v>
      </c>
      <c r="Y41" s="484">
        <v>0</v>
      </c>
      <c r="Z41" s="487">
        <v>0</v>
      </c>
      <c r="AA41" s="488">
        <v>0</v>
      </c>
      <c r="AB41" s="487">
        <v>0</v>
      </c>
      <c r="AC41" s="484">
        <v>0</v>
      </c>
      <c r="AD41" s="487">
        <v>0</v>
      </c>
      <c r="AE41" s="488">
        <v>0</v>
      </c>
      <c r="AF41" s="487">
        <v>0</v>
      </c>
      <c r="AG41" s="484">
        <v>0</v>
      </c>
      <c r="AH41" s="487">
        <v>0</v>
      </c>
      <c r="AI41" s="488">
        <v>0</v>
      </c>
      <c r="AJ41" s="487">
        <v>0</v>
      </c>
      <c r="AK41" s="484">
        <v>0</v>
      </c>
      <c r="AL41" s="487">
        <v>0</v>
      </c>
      <c r="AM41" s="488">
        <v>0</v>
      </c>
    </row>
    <row r="42" spans="1:39" ht="14.25" customHeight="1" x14ac:dyDescent="0.25">
      <c r="A42" s="483"/>
      <c r="B42" s="13" t="s">
        <v>41</v>
      </c>
      <c r="C42" s="485"/>
      <c r="D42" s="485"/>
      <c r="E42" s="485"/>
      <c r="F42" s="485"/>
      <c r="G42" s="485"/>
      <c r="H42" s="485"/>
      <c r="I42" s="485"/>
      <c r="J42" s="485"/>
      <c r="K42" s="485"/>
      <c r="L42" s="485"/>
      <c r="M42" s="485"/>
      <c r="N42" s="485"/>
      <c r="O42" s="485"/>
      <c r="P42" s="487"/>
      <c r="Q42" s="485"/>
      <c r="R42" s="487"/>
      <c r="S42" s="489"/>
      <c r="T42" s="487"/>
      <c r="U42" s="485"/>
      <c r="V42" s="487"/>
      <c r="W42" s="489"/>
      <c r="X42" s="487"/>
      <c r="Y42" s="485"/>
      <c r="Z42" s="487"/>
      <c r="AA42" s="489"/>
      <c r="AB42" s="487"/>
      <c r="AC42" s="485"/>
      <c r="AD42" s="487"/>
      <c r="AE42" s="489"/>
      <c r="AF42" s="487"/>
      <c r="AG42" s="485"/>
      <c r="AH42" s="487"/>
      <c r="AI42" s="489"/>
      <c r="AJ42" s="487"/>
      <c r="AK42" s="485"/>
      <c r="AL42" s="487"/>
      <c r="AM42" s="489"/>
    </row>
    <row r="43" spans="1:39" ht="14.25" customHeight="1" x14ac:dyDescent="0.25">
      <c r="A43" s="482" t="s">
        <v>52</v>
      </c>
      <c r="B43" s="12" t="s">
        <v>43</v>
      </c>
      <c r="C43" s="484" t="s">
        <v>11</v>
      </c>
      <c r="D43" s="484">
        <v>0</v>
      </c>
      <c r="E43" s="484">
        <v>0</v>
      </c>
      <c r="F43" s="484">
        <v>0</v>
      </c>
      <c r="G43" s="484">
        <v>0</v>
      </c>
      <c r="H43" s="484">
        <v>0</v>
      </c>
      <c r="I43" s="484">
        <v>0</v>
      </c>
      <c r="J43" s="484">
        <v>0</v>
      </c>
      <c r="K43" s="484">
        <v>0</v>
      </c>
      <c r="L43" s="484">
        <v>0</v>
      </c>
      <c r="M43" s="484">
        <v>0</v>
      </c>
      <c r="N43" s="484">
        <v>0</v>
      </c>
      <c r="O43" s="484">
        <v>0</v>
      </c>
      <c r="P43" s="487">
        <v>0</v>
      </c>
      <c r="Q43" s="484">
        <v>0</v>
      </c>
      <c r="R43" s="487">
        <v>0</v>
      </c>
      <c r="S43" s="488">
        <v>0</v>
      </c>
      <c r="T43" s="487">
        <v>0</v>
      </c>
      <c r="U43" s="484">
        <v>0</v>
      </c>
      <c r="V43" s="487">
        <v>0</v>
      </c>
      <c r="W43" s="488">
        <v>0</v>
      </c>
      <c r="X43" s="487">
        <v>0</v>
      </c>
      <c r="Y43" s="484">
        <v>0</v>
      </c>
      <c r="Z43" s="487">
        <v>0</v>
      </c>
      <c r="AA43" s="488">
        <v>0</v>
      </c>
      <c r="AB43" s="487">
        <v>0</v>
      </c>
      <c r="AC43" s="484">
        <v>0</v>
      </c>
      <c r="AD43" s="487">
        <v>0</v>
      </c>
      <c r="AE43" s="488">
        <v>0</v>
      </c>
      <c r="AF43" s="487">
        <v>0</v>
      </c>
      <c r="AG43" s="484">
        <v>0</v>
      </c>
      <c r="AH43" s="487">
        <v>0</v>
      </c>
      <c r="AI43" s="488">
        <v>0</v>
      </c>
      <c r="AJ43" s="487">
        <v>0</v>
      </c>
      <c r="AK43" s="484">
        <v>0</v>
      </c>
      <c r="AL43" s="487">
        <v>0</v>
      </c>
      <c r="AM43" s="488">
        <v>0</v>
      </c>
    </row>
    <row r="44" spans="1:39" ht="14.25" customHeight="1" x14ac:dyDescent="0.25">
      <c r="A44" s="483"/>
      <c r="B44" s="13" t="s">
        <v>44</v>
      </c>
      <c r="C44" s="485"/>
      <c r="D44" s="485"/>
      <c r="E44" s="485"/>
      <c r="F44" s="485"/>
      <c r="G44" s="485"/>
      <c r="H44" s="485"/>
      <c r="I44" s="485"/>
      <c r="J44" s="485"/>
      <c r="K44" s="485"/>
      <c r="L44" s="485"/>
      <c r="M44" s="485"/>
      <c r="N44" s="485"/>
      <c r="O44" s="485"/>
      <c r="P44" s="487"/>
      <c r="Q44" s="485"/>
      <c r="R44" s="487"/>
      <c r="S44" s="489"/>
      <c r="T44" s="487"/>
      <c r="U44" s="485"/>
      <c r="V44" s="487"/>
      <c r="W44" s="489"/>
      <c r="X44" s="487"/>
      <c r="Y44" s="485"/>
      <c r="Z44" s="487"/>
      <c r="AA44" s="489"/>
      <c r="AB44" s="487"/>
      <c r="AC44" s="485"/>
      <c r="AD44" s="487"/>
      <c r="AE44" s="489"/>
      <c r="AF44" s="487"/>
      <c r="AG44" s="485"/>
      <c r="AH44" s="487"/>
      <c r="AI44" s="489"/>
      <c r="AJ44" s="487"/>
      <c r="AK44" s="485"/>
      <c r="AL44" s="487"/>
      <c r="AM44" s="489"/>
    </row>
    <row r="45" spans="1:39" ht="14.25" customHeight="1" x14ac:dyDescent="0.25">
      <c r="A45" s="482" t="s">
        <v>53</v>
      </c>
      <c r="B45" s="12" t="s">
        <v>46</v>
      </c>
      <c r="C45" s="484" t="s">
        <v>11</v>
      </c>
      <c r="D45" s="484">
        <v>0</v>
      </c>
      <c r="E45" s="484">
        <v>0</v>
      </c>
      <c r="F45" s="484">
        <v>0</v>
      </c>
      <c r="G45" s="484">
        <v>0</v>
      </c>
      <c r="H45" s="484">
        <v>0</v>
      </c>
      <c r="I45" s="484">
        <v>0</v>
      </c>
      <c r="J45" s="484">
        <v>0</v>
      </c>
      <c r="K45" s="484">
        <v>0</v>
      </c>
      <c r="L45" s="484">
        <v>0</v>
      </c>
      <c r="M45" s="484">
        <v>0</v>
      </c>
      <c r="N45" s="484">
        <v>0</v>
      </c>
      <c r="O45" s="484">
        <v>0</v>
      </c>
      <c r="P45" s="487">
        <v>0</v>
      </c>
      <c r="Q45" s="484">
        <v>0</v>
      </c>
      <c r="R45" s="487">
        <v>0</v>
      </c>
      <c r="S45" s="488">
        <v>0</v>
      </c>
      <c r="T45" s="487">
        <v>0</v>
      </c>
      <c r="U45" s="484">
        <v>0</v>
      </c>
      <c r="V45" s="487">
        <v>0</v>
      </c>
      <c r="W45" s="488">
        <v>0</v>
      </c>
      <c r="X45" s="487">
        <v>0</v>
      </c>
      <c r="Y45" s="484">
        <v>0</v>
      </c>
      <c r="Z45" s="487">
        <v>0</v>
      </c>
      <c r="AA45" s="488">
        <v>0</v>
      </c>
      <c r="AB45" s="487">
        <v>0</v>
      </c>
      <c r="AC45" s="484">
        <v>0</v>
      </c>
      <c r="AD45" s="487">
        <v>0</v>
      </c>
      <c r="AE45" s="488">
        <v>0</v>
      </c>
      <c r="AF45" s="487">
        <v>0</v>
      </c>
      <c r="AG45" s="484">
        <v>0</v>
      </c>
      <c r="AH45" s="487">
        <v>0</v>
      </c>
      <c r="AI45" s="488">
        <v>0</v>
      </c>
      <c r="AJ45" s="487">
        <v>0</v>
      </c>
      <c r="AK45" s="484">
        <v>0</v>
      </c>
      <c r="AL45" s="487">
        <v>0</v>
      </c>
      <c r="AM45" s="488">
        <v>0</v>
      </c>
    </row>
    <row r="46" spans="1:39" ht="14.25" customHeight="1" x14ac:dyDescent="0.25">
      <c r="A46" s="483"/>
      <c r="B46" s="21" t="s">
        <v>47</v>
      </c>
      <c r="C46" s="485"/>
      <c r="D46" s="485"/>
      <c r="E46" s="485"/>
      <c r="F46" s="485"/>
      <c r="G46" s="485"/>
      <c r="H46" s="485"/>
      <c r="I46" s="485"/>
      <c r="J46" s="485"/>
      <c r="K46" s="485"/>
      <c r="L46" s="485"/>
      <c r="M46" s="485"/>
      <c r="N46" s="485"/>
      <c r="O46" s="485"/>
      <c r="P46" s="487"/>
      <c r="Q46" s="485"/>
      <c r="R46" s="487"/>
      <c r="S46" s="489"/>
      <c r="T46" s="487"/>
      <c r="U46" s="485"/>
      <c r="V46" s="487"/>
      <c r="W46" s="489"/>
      <c r="X46" s="487"/>
      <c r="Y46" s="485"/>
      <c r="Z46" s="487"/>
      <c r="AA46" s="489"/>
      <c r="AB46" s="487"/>
      <c r="AC46" s="485"/>
      <c r="AD46" s="487"/>
      <c r="AE46" s="489"/>
      <c r="AF46" s="487"/>
      <c r="AG46" s="485"/>
      <c r="AH46" s="487"/>
      <c r="AI46" s="489"/>
      <c r="AJ46" s="487"/>
      <c r="AK46" s="485"/>
      <c r="AL46" s="487"/>
      <c r="AM46" s="489"/>
    </row>
    <row r="47" spans="1:39" s="17" customFormat="1" ht="14.25" customHeight="1" x14ac:dyDescent="0.25">
      <c r="A47" s="15" t="s">
        <v>54</v>
      </c>
      <c r="B47" s="19" t="s">
        <v>55</v>
      </c>
      <c r="C47" s="265" t="s">
        <v>11</v>
      </c>
      <c r="D47" s="265">
        <v>0</v>
      </c>
      <c r="E47" s="265">
        <v>0</v>
      </c>
      <c r="F47" s="265">
        <v>0</v>
      </c>
      <c r="G47" s="265">
        <v>0</v>
      </c>
      <c r="H47" s="265">
        <v>0</v>
      </c>
      <c r="I47" s="265">
        <v>0</v>
      </c>
      <c r="J47" s="265">
        <v>0</v>
      </c>
      <c r="K47" s="265">
        <v>0</v>
      </c>
      <c r="L47" s="265">
        <v>0</v>
      </c>
      <c r="M47" s="265">
        <v>0</v>
      </c>
      <c r="N47" s="265">
        <v>0</v>
      </c>
      <c r="O47" s="265">
        <v>0</v>
      </c>
      <c r="P47" s="309">
        <v>0</v>
      </c>
      <c r="Q47" s="311">
        <v>0</v>
      </c>
      <c r="R47" s="309">
        <v>0</v>
      </c>
      <c r="S47" s="310">
        <v>0</v>
      </c>
      <c r="T47" s="309">
        <v>0</v>
      </c>
      <c r="U47" s="311">
        <v>0</v>
      </c>
      <c r="V47" s="309">
        <v>0</v>
      </c>
      <c r="W47" s="310">
        <v>0</v>
      </c>
      <c r="X47" s="309">
        <v>0</v>
      </c>
      <c r="Y47" s="311">
        <v>0</v>
      </c>
      <c r="Z47" s="309">
        <v>0</v>
      </c>
      <c r="AA47" s="310">
        <v>0</v>
      </c>
      <c r="AB47" s="256">
        <v>0</v>
      </c>
      <c r="AC47" s="265">
        <v>0</v>
      </c>
      <c r="AD47" s="256">
        <v>0</v>
      </c>
      <c r="AE47" s="249">
        <v>0</v>
      </c>
      <c r="AF47" s="256">
        <v>0</v>
      </c>
      <c r="AG47" s="265">
        <v>0</v>
      </c>
      <c r="AH47" s="256">
        <v>0</v>
      </c>
      <c r="AI47" s="249">
        <v>0</v>
      </c>
      <c r="AJ47" s="256">
        <v>0</v>
      </c>
      <c r="AK47" s="265">
        <v>0</v>
      </c>
      <c r="AL47" s="256">
        <v>0</v>
      </c>
      <c r="AM47" s="249">
        <v>0</v>
      </c>
    </row>
    <row r="48" spans="1:39" s="17" customFormat="1" ht="14.25" customHeight="1" x14ac:dyDescent="0.25">
      <c r="A48" s="15"/>
      <c r="B48" s="19" t="s">
        <v>34</v>
      </c>
      <c r="C48" s="265"/>
      <c r="D48" s="265"/>
      <c r="E48" s="265"/>
      <c r="F48" s="265"/>
      <c r="G48" s="265"/>
      <c r="H48" s="265"/>
      <c r="I48" s="265"/>
      <c r="J48" s="265"/>
      <c r="K48" s="265"/>
      <c r="L48" s="43"/>
      <c r="M48" s="265"/>
      <c r="N48" s="43"/>
      <c r="O48" s="265"/>
      <c r="P48" s="312"/>
      <c r="Q48" s="311"/>
      <c r="R48" s="312"/>
      <c r="S48" s="310"/>
      <c r="T48" s="312"/>
      <c r="U48" s="311"/>
      <c r="V48" s="312"/>
      <c r="W48" s="310"/>
      <c r="X48" s="312"/>
      <c r="Y48" s="311"/>
      <c r="Z48" s="312"/>
      <c r="AA48" s="310"/>
      <c r="AB48" s="261"/>
      <c r="AC48" s="265"/>
      <c r="AD48" s="261"/>
      <c r="AE48" s="249"/>
      <c r="AF48" s="261"/>
      <c r="AG48" s="265"/>
      <c r="AH48" s="261"/>
      <c r="AI48" s="249"/>
      <c r="AJ48" s="261"/>
      <c r="AK48" s="265"/>
      <c r="AL48" s="261"/>
      <c r="AM48" s="249"/>
    </row>
    <row r="49" spans="1:39" ht="12.75" customHeight="1" x14ac:dyDescent="0.25">
      <c r="A49" s="482" t="s">
        <v>56</v>
      </c>
      <c r="B49" s="12" t="s">
        <v>57</v>
      </c>
      <c r="C49" s="484" t="s">
        <v>11</v>
      </c>
      <c r="D49" s="484"/>
      <c r="E49" s="484"/>
      <c r="F49" s="484"/>
      <c r="G49" s="484"/>
      <c r="H49" s="484"/>
      <c r="I49" s="484"/>
      <c r="J49" s="484"/>
      <c r="K49" s="484"/>
      <c r="L49" s="509"/>
      <c r="M49" s="484"/>
      <c r="N49" s="509"/>
      <c r="O49" s="484"/>
      <c r="P49" s="495"/>
      <c r="Q49" s="484"/>
      <c r="R49" s="495"/>
      <c r="S49" s="488"/>
      <c r="T49" s="495"/>
      <c r="U49" s="484"/>
      <c r="V49" s="495"/>
      <c r="W49" s="488"/>
      <c r="X49" s="495"/>
      <c r="Y49" s="484"/>
      <c r="Z49" s="495"/>
      <c r="AA49" s="488"/>
      <c r="AB49" s="495"/>
      <c r="AC49" s="484"/>
      <c r="AD49" s="495"/>
      <c r="AE49" s="488"/>
      <c r="AF49" s="495"/>
      <c r="AG49" s="484"/>
      <c r="AH49" s="495"/>
      <c r="AI49" s="488"/>
      <c r="AJ49" s="495"/>
      <c r="AK49" s="484"/>
      <c r="AL49" s="495"/>
      <c r="AM49" s="488"/>
    </row>
    <row r="50" spans="1:39" ht="26.25" customHeight="1" x14ac:dyDescent="0.25">
      <c r="A50" s="493"/>
      <c r="B50" s="22" t="s">
        <v>58</v>
      </c>
      <c r="C50" s="480"/>
      <c r="D50" s="480"/>
      <c r="E50" s="480"/>
      <c r="F50" s="480"/>
      <c r="G50" s="480"/>
      <c r="H50" s="480"/>
      <c r="I50" s="480"/>
      <c r="J50" s="480"/>
      <c r="K50" s="480"/>
      <c r="L50" s="510"/>
      <c r="M50" s="480"/>
      <c r="N50" s="510"/>
      <c r="O50" s="480"/>
      <c r="P50" s="479"/>
      <c r="Q50" s="480"/>
      <c r="R50" s="479"/>
      <c r="S50" s="478"/>
      <c r="T50" s="479"/>
      <c r="U50" s="480"/>
      <c r="V50" s="479"/>
      <c r="W50" s="478"/>
      <c r="X50" s="479"/>
      <c r="Y50" s="480"/>
      <c r="Z50" s="479"/>
      <c r="AA50" s="478"/>
      <c r="AB50" s="479"/>
      <c r="AC50" s="480"/>
      <c r="AD50" s="479"/>
      <c r="AE50" s="478"/>
      <c r="AF50" s="479"/>
      <c r="AG50" s="480"/>
      <c r="AH50" s="479"/>
      <c r="AI50" s="478"/>
      <c r="AJ50" s="479"/>
      <c r="AK50" s="480"/>
      <c r="AL50" s="479"/>
      <c r="AM50" s="478"/>
    </row>
    <row r="51" spans="1:39" s="17" customFormat="1" ht="12.75" customHeight="1" x14ac:dyDescent="0.25">
      <c r="A51" s="493"/>
      <c r="B51" s="23" t="s">
        <v>59</v>
      </c>
      <c r="C51" s="480"/>
      <c r="D51" s="250">
        <v>0</v>
      </c>
      <c r="E51" s="250">
        <v>0</v>
      </c>
      <c r="F51" s="250">
        <v>0</v>
      </c>
      <c r="G51" s="250">
        <v>0</v>
      </c>
      <c r="H51" s="250">
        <v>0</v>
      </c>
      <c r="I51" s="250">
        <v>0</v>
      </c>
      <c r="J51" s="250">
        <v>0</v>
      </c>
      <c r="K51" s="250">
        <v>0</v>
      </c>
      <c r="L51" s="250">
        <v>0</v>
      </c>
      <c r="M51" s="250">
        <v>0</v>
      </c>
      <c r="N51" s="250">
        <v>0</v>
      </c>
      <c r="O51" s="250">
        <v>0</v>
      </c>
      <c r="P51" s="315">
        <v>0</v>
      </c>
      <c r="Q51" s="315">
        <v>0</v>
      </c>
      <c r="R51" s="315">
        <v>0</v>
      </c>
      <c r="S51" s="316">
        <v>0</v>
      </c>
      <c r="T51" s="315">
        <v>0</v>
      </c>
      <c r="U51" s="315">
        <v>0</v>
      </c>
      <c r="V51" s="315">
        <v>0</v>
      </c>
      <c r="W51" s="316">
        <v>0</v>
      </c>
      <c r="X51" s="315">
        <v>0</v>
      </c>
      <c r="Y51" s="315">
        <v>0</v>
      </c>
      <c r="Z51" s="315">
        <v>0</v>
      </c>
      <c r="AA51" s="316">
        <v>0</v>
      </c>
      <c r="AB51" s="250">
        <v>0</v>
      </c>
      <c r="AC51" s="250">
        <v>0</v>
      </c>
      <c r="AD51" s="250">
        <v>0</v>
      </c>
      <c r="AE51" s="252">
        <v>0</v>
      </c>
      <c r="AF51" s="250">
        <v>0</v>
      </c>
      <c r="AG51" s="250">
        <v>0</v>
      </c>
      <c r="AH51" s="250">
        <v>0</v>
      </c>
      <c r="AI51" s="252">
        <v>0</v>
      </c>
      <c r="AJ51" s="250">
        <v>0</v>
      </c>
      <c r="AK51" s="250">
        <v>0</v>
      </c>
      <c r="AL51" s="250">
        <v>0</v>
      </c>
      <c r="AM51" s="252">
        <v>0</v>
      </c>
    </row>
    <row r="52" spans="1:39" s="17" customFormat="1" ht="12.75" customHeight="1" x14ac:dyDescent="0.25">
      <c r="A52" s="493"/>
      <c r="B52" s="23" t="s">
        <v>60</v>
      </c>
      <c r="C52" s="480"/>
      <c r="D52" s="250">
        <v>0</v>
      </c>
      <c r="E52" s="250">
        <v>0</v>
      </c>
      <c r="F52" s="250">
        <v>0</v>
      </c>
      <c r="G52" s="250">
        <v>0</v>
      </c>
      <c r="H52" s="250">
        <v>0</v>
      </c>
      <c r="I52" s="250">
        <v>0</v>
      </c>
      <c r="J52" s="250">
        <v>0</v>
      </c>
      <c r="K52" s="250">
        <v>0</v>
      </c>
      <c r="L52" s="250">
        <v>0</v>
      </c>
      <c r="M52" s="250">
        <v>0</v>
      </c>
      <c r="N52" s="250">
        <v>0</v>
      </c>
      <c r="O52" s="250">
        <v>0</v>
      </c>
      <c r="P52" s="315">
        <v>0</v>
      </c>
      <c r="Q52" s="315">
        <v>0</v>
      </c>
      <c r="R52" s="315">
        <v>0</v>
      </c>
      <c r="S52" s="316">
        <v>0</v>
      </c>
      <c r="T52" s="315">
        <v>0</v>
      </c>
      <c r="U52" s="315">
        <v>0</v>
      </c>
      <c r="V52" s="315">
        <v>0</v>
      </c>
      <c r="W52" s="316">
        <v>0</v>
      </c>
      <c r="X52" s="315">
        <v>0</v>
      </c>
      <c r="Y52" s="315">
        <v>0</v>
      </c>
      <c r="Z52" s="315">
        <v>0</v>
      </c>
      <c r="AA52" s="316">
        <v>0</v>
      </c>
      <c r="AB52" s="250">
        <v>0</v>
      </c>
      <c r="AC52" s="250">
        <v>0</v>
      </c>
      <c r="AD52" s="250">
        <v>0</v>
      </c>
      <c r="AE52" s="252">
        <v>0</v>
      </c>
      <c r="AF52" s="250">
        <v>0</v>
      </c>
      <c r="AG52" s="250">
        <v>0</v>
      </c>
      <c r="AH52" s="250">
        <v>0</v>
      </c>
      <c r="AI52" s="252">
        <v>0</v>
      </c>
      <c r="AJ52" s="250">
        <v>0</v>
      </c>
      <c r="AK52" s="250">
        <v>0</v>
      </c>
      <c r="AL52" s="250">
        <v>0</v>
      </c>
      <c r="AM52" s="252">
        <v>0</v>
      </c>
    </row>
    <row r="53" spans="1:39" ht="12.75" customHeight="1" x14ac:dyDescent="0.25">
      <c r="A53" s="493"/>
      <c r="B53" s="23" t="s">
        <v>61</v>
      </c>
      <c r="C53" s="480"/>
      <c r="D53" s="480">
        <v>0</v>
      </c>
      <c r="E53" s="480">
        <v>0</v>
      </c>
      <c r="F53" s="480">
        <v>0</v>
      </c>
      <c r="G53" s="480">
        <v>0</v>
      </c>
      <c r="H53" s="480">
        <v>0</v>
      </c>
      <c r="I53" s="480">
        <v>0</v>
      </c>
      <c r="J53" s="480">
        <v>0</v>
      </c>
      <c r="K53" s="480">
        <v>0</v>
      </c>
      <c r="L53" s="480">
        <v>0</v>
      </c>
      <c r="M53" s="480">
        <v>0</v>
      </c>
      <c r="N53" s="480">
        <v>0</v>
      </c>
      <c r="O53" s="480">
        <v>0</v>
      </c>
      <c r="P53" s="480">
        <v>0</v>
      </c>
      <c r="Q53" s="480">
        <v>0</v>
      </c>
      <c r="R53" s="480">
        <v>0</v>
      </c>
      <c r="S53" s="478">
        <v>0</v>
      </c>
      <c r="T53" s="480">
        <v>0</v>
      </c>
      <c r="U53" s="480">
        <v>0</v>
      </c>
      <c r="V53" s="480">
        <v>0</v>
      </c>
      <c r="W53" s="478">
        <v>0</v>
      </c>
      <c r="X53" s="480">
        <v>0</v>
      </c>
      <c r="Y53" s="480">
        <v>0</v>
      </c>
      <c r="Z53" s="480">
        <v>0</v>
      </c>
      <c r="AA53" s="478">
        <v>0</v>
      </c>
      <c r="AB53" s="480">
        <v>0</v>
      </c>
      <c r="AC53" s="480">
        <v>0</v>
      </c>
      <c r="AD53" s="480">
        <v>0</v>
      </c>
      <c r="AE53" s="478">
        <v>0</v>
      </c>
      <c r="AF53" s="480">
        <v>0</v>
      </c>
      <c r="AG53" s="480">
        <v>0</v>
      </c>
      <c r="AH53" s="480">
        <v>0</v>
      </c>
      <c r="AI53" s="478">
        <v>0</v>
      </c>
      <c r="AJ53" s="480">
        <v>0</v>
      </c>
      <c r="AK53" s="480">
        <v>0</v>
      </c>
      <c r="AL53" s="480">
        <v>0</v>
      </c>
      <c r="AM53" s="478">
        <v>0</v>
      </c>
    </row>
    <row r="54" spans="1:39" ht="12.75" customHeight="1" x14ac:dyDescent="0.25">
      <c r="A54" s="483"/>
      <c r="B54" s="14" t="s">
        <v>62</v>
      </c>
      <c r="C54" s="485"/>
      <c r="D54" s="485"/>
      <c r="E54" s="485"/>
      <c r="F54" s="485"/>
      <c r="G54" s="485"/>
      <c r="H54" s="485"/>
      <c r="I54" s="485"/>
      <c r="J54" s="485"/>
      <c r="K54" s="485"/>
      <c r="L54" s="485"/>
      <c r="M54" s="485"/>
      <c r="N54" s="485"/>
      <c r="O54" s="485"/>
      <c r="P54" s="485"/>
      <c r="Q54" s="485"/>
      <c r="R54" s="485"/>
      <c r="S54" s="489"/>
      <c r="T54" s="485"/>
      <c r="U54" s="485"/>
      <c r="V54" s="485"/>
      <c r="W54" s="489"/>
      <c r="X54" s="485"/>
      <c r="Y54" s="485"/>
      <c r="Z54" s="485"/>
      <c r="AA54" s="489"/>
      <c r="AB54" s="485"/>
      <c r="AC54" s="485"/>
      <c r="AD54" s="485"/>
      <c r="AE54" s="489"/>
      <c r="AF54" s="485"/>
      <c r="AG54" s="485"/>
      <c r="AH54" s="485"/>
      <c r="AI54" s="489"/>
      <c r="AJ54" s="485"/>
      <c r="AK54" s="485"/>
      <c r="AL54" s="485"/>
      <c r="AM54" s="489"/>
    </row>
    <row r="55" spans="1:39" ht="11.25" customHeight="1" x14ac:dyDescent="0.25">
      <c r="A55" s="482" t="s">
        <v>63</v>
      </c>
      <c r="B55" s="12" t="s">
        <v>64</v>
      </c>
      <c r="C55" s="490" t="s">
        <v>252</v>
      </c>
      <c r="D55" s="254"/>
      <c r="E55" s="254"/>
      <c r="F55" s="254"/>
      <c r="G55" s="254"/>
      <c r="H55" s="254"/>
      <c r="I55" s="254"/>
      <c r="J55" s="254"/>
      <c r="K55" s="254"/>
      <c r="L55" s="254"/>
      <c r="M55" s="254"/>
      <c r="N55" s="254"/>
      <c r="O55" s="254"/>
      <c r="P55" s="307"/>
      <c r="Q55" s="307"/>
      <c r="R55" s="307"/>
      <c r="S55" s="305"/>
      <c r="T55" s="307"/>
      <c r="U55" s="307"/>
      <c r="V55" s="307"/>
      <c r="W55" s="305"/>
      <c r="X55" s="307"/>
      <c r="Y55" s="307"/>
      <c r="Z55" s="307"/>
      <c r="AA55" s="305"/>
      <c r="AB55" s="254"/>
      <c r="AC55" s="254"/>
      <c r="AD55" s="254"/>
      <c r="AE55" s="258"/>
      <c r="AF55" s="254"/>
      <c r="AG55" s="254"/>
      <c r="AH55" s="254"/>
      <c r="AI55" s="258"/>
      <c r="AJ55" s="254"/>
      <c r="AK55" s="254"/>
      <c r="AL55" s="254"/>
      <c r="AM55" s="258"/>
    </row>
    <row r="56" spans="1:39" s="17" customFormat="1" ht="12.75" customHeight="1" x14ac:dyDescent="0.25">
      <c r="A56" s="493"/>
      <c r="B56" s="23" t="s">
        <v>59</v>
      </c>
      <c r="C56" s="507"/>
      <c r="D56" s="250">
        <v>0</v>
      </c>
      <c r="E56" s="250">
        <v>0</v>
      </c>
      <c r="F56" s="250">
        <v>0</v>
      </c>
      <c r="G56" s="250">
        <v>0</v>
      </c>
      <c r="H56" s="250">
        <v>0</v>
      </c>
      <c r="I56" s="250">
        <v>0</v>
      </c>
      <c r="J56" s="250">
        <v>0</v>
      </c>
      <c r="K56" s="250">
        <v>0</v>
      </c>
      <c r="L56" s="250">
        <v>0</v>
      </c>
      <c r="M56" s="250">
        <v>0</v>
      </c>
      <c r="N56" s="250">
        <v>0</v>
      </c>
      <c r="O56" s="250">
        <v>0</v>
      </c>
      <c r="P56" s="315">
        <v>0</v>
      </c>
      <c r="Q56" s="315">
        <v>0</v>
      </c>
      <c r="R56" s="315">
        <v>0</v>
      </c>
      <c r="S56" s="316">
        <v>0</v>
      </c>
      <c r="T56" s="315">
        <v>0</v>
      </c>
      <c r="U56" s="315">
        <v>0</v>
      </c>
      <c r="V56" s="315">
        <v>0</v>
      </c>
      <c r="W56" s="316">
        <v>0</v>
      </c>
      <c r="X56" s="315">
        <v>0</v>
      </c>
      <c r="Y56" s="315">
        <v>0</v>
      </c>
      <c r="Z56" s="315">
        <v>0</v>
      </c>
      <c r="AA56" s="316">
        <v>0</v>
      </c>
      <c r="AB56" s="250">
        <v>0</v>
      </c>
      <c r="AC56" s="250">
        <v>0</v>
      </c>
      <c r="AD56" s="250">
        <v>0</v>
      </c>
      <c r="AE56" s="252">
        <v>0</v>
      </c>
      <c r="AF56" s="250">
        <v>0</v>
      </c>
      <c r="AG56" s="250">
        <v>0</v>
      </c>
      <c r="AH56" s="250">
        <v>0</v>
      </c>
      <c r="AI56" s="252">
        <v>0</v>
      </c>
      <c r="AJ56" s="250">
        <v>0</v>
      </c>
      <c r="AK56" s="250">
        <v>0</v>
      </c>
      <c r="AL56" s="250">
        <v>0</v>
      </c>
      <c r="AM56" s="252">
        <v>0</v>
      </c>
    </row>
    <row r="57" spans="1:39" s="17" customFormat="1" ht="12.75" customHeight="1" x14ac:dyDescent="0.25">
      <c r="A57" s="493"/>
      <c r="B57" s="23" t="s">
        <v>60</v>
      </c>
      <c r="C57" s="507"/>
      <c r="D57" s="250">
        <v>0</v>
      </c>
      <c r="E57" s="250">
        <v>0</v>
      </c>
      <c r="F57" s="250">
        <v>0</v>
      </c>
      <c r="G57" s="250">
        <v>0</v>
      </c>
      <c r="H57" s="250">
        <v>0</v>
      </c>
      <c r="I57" s="250">
        <v>0</v>
      </c>
      <c r="J57" s="250">
        <v>0</v>
      </c>
      <c r="K57" s="250">
        <v>0</v>
      </c>
      <c r="L57" s="250">
        <v>0</v>
      </c>
      <c r="M57" s="250">
        <v>0</v>
      </c>
      <c r="N57" s="250">
        <v>0</v>
      </c>
      <c r="O57" s="250">
        <v>0</v>
      </c>
      <c r="P57" s="315">
        <v>0</v>
      </c>
      <c r="Q57" s="315">
        <v>0</v>
      </c>
      <c r="R57" s="315">
        <v>0</v>
      </c>
      <c r="S57" s="316">
        <v>0</v>
      </c>
      <c r="T57" s="315">
        <v>0</v>
      </c>
      <c r="U57" s="315">
        <v>0</v>
      </c>
      <c r="V57" s="315">
        <v>0</v>
      </c>
      <c r="W57" s="316">
        <v>0</v>
      </c>
      <c r="X57" s="315">
        <v>0</v>
      </c>
      <c r="Y57" s="315">
        <v>0</v>
      </c>
      <c r="Z57" s="315">
        <v>0</v>
      </c>
      <c r="AA57" s="316">
        <v>0</v>
      </c>
      <c r="AB57" s="250">
        <v>0</v>
      </c>
      <c r="AC57" s="250">
        <v>0</v>
      </c>
      <c r="AD57" s="250">
        <v>0</v>
      </c>
      <c r="AE57" s="252">
        <v>0</v>
      </c>
      <c r="AF57" s="250">
        <v>0</v>
      </c>
      <c r="AG57" s="250">
        <v>0</v>
      </c>
      <c r="AH57" s="250">
        <v>0</v>
      </c>
      <c r="AI57" s="252">
        <v>0</v>
      </c>
      <c r="AJ57" s="250">
        <v>0</v>
      </c>
      <c r="AK57" s="250">
        <v>0</v>
      </c>
      <c r="AL57" s="250">
        <v>0</v>
      </c>
      <c r="AM57" s="252">
        <v>0</v>
      </c>
    </row>
    <row r="58" spans="1:39" ht="12.75" customHeight="1" x14ac:dyDescent="0.25">
      <c r="A58" s="493"/>
      <c r="B58" s="23" t="s">
        <v>61</v>
      </c>
      <c r="C58" s="507"/>
      <c r="D58" s="480">
        <v>0</v>
      </c>
      <c r="E58" s="480">
        <v>0</v>
      </c>
      <c r="F58" s="480">
        <v>0</v>
      </c>
      <c r="G58" s="480">
        <v>0</v>
      </c>
      <c r="H58" s="480">
        <v>0</v>
      </c>
      <c r="I58" s="480">
        <v>0</v>
      </c>
      <c r="J58" s="480">
        <v>0</v>
      </c>
      <c r="K58" s="480">
        <v>0</v>
      </c>
      <c r="L58" s="480">
        <v>0</v>
      </c>
      <c r="M58" s="480">
        <v>0</v>
      </c>
      <c r="N58" s="480">
        <v>0</v>
      </c>
      <c r="O58" s="480">
        <v>0</v>
      </c>
      <c r="P58" s="480">
        <v>0</v>
      </c>
      <c r="Q58" s="480">
        <v>0</v>
      </c>
      <c r="R58" s="480">
        <v>0</v>
      </c>
      <c r="S58" s="478">
        <v>0</v>
      </c>
      <c r="T58" s="480">
        <v>0</v>
      </c>
      <c r="U58" s="480">
        <v>0</v>
      </c>
      <c r="V58" s="480">
        <v>0</v>
      </c>
      <c r="W58" s="478">
        <v>0</v>
      </c>
      <c r="X58" s="480">
        <v>0</v>
      </c>
      <c r="Y58" s="480">
        <v>0</v>
      </c>
      <c r="Z58" s="480">
        <v>0</v>
      </c>
      <c r="AA58" s="478">
        <v>0</v>
      </c>
      <c r="AB58" s="480">
        <v>0</v>
      </c>
      <c r="AC58" s="480">
        <v>0</v>
      </c>
      <c r="AD58" s="480">
        <v>0</v>
      </c>
      <c r="AE58" s="478">
        <v>0</v>
      </c>
      <c r="AF58" s="480">
        <v>0</v>
      </c>
      <c r="AG58" s="480">
        <v>0</v>
      </c>
      <c r="AH58" s="480">
        <v>0</v>
      </c>
      <c r="AI58" s="478">
        <v>0</v>
      </c>
      <c r="AJ58" s="480">
        <v>0</v>
      </c>
      <c r="AK58" s="480">
        <v>0</v>
      </c>
      <c r="AL58" s="480">
        <v>0</v>
      </c>
      <c r="AM58" s="478">
        <v>0</v>
      </c>
    </row>
    <row r="59" spans="1:39" ht="12.75" customHeight="1" x14ac:dyDescent="0.25">
      <c r="A59" s="483"/>
      <c r="B59" s="14" t="s">
        <v>62</v>
      </c>
      <c r="C59" s="508"/>
      <c r="D59" s="485"/>
      <c r="E59" s="485"/>
      <c r="F59" s="485"/>
      <c r="G59" s="485"/>
      <c r="H59" s="485"/>
      <c r="I59" s="485"/>
      <c r="J59" s="485"/>
      <c r="K59" s="485"/>
      <c r="L59" s="485"/>
      <c r="M59" s="485"/>
      <c r="N59" s="485"/>
      <c r="O59" s="485"/>
      <c r="P59" s="485"/>
      <c r="Q59" s="485"/>
      <c r="R59" s="485"/>
      <c r="S59" s="489"/>
      <c r="T59" s="485"/>
      <c r="U59" s="485"/>
      <c r="V59" s="485"/>
      <c r="W59" s="489"/>
      <c r="X59" s="485"/>
      <c r="Y59" s="485"/>
      <c r="Z59" s="485"/>
      <c r="AA59" s="489"/>
      <c r="AB59" s="485"/>
      <c r="AC59" s="485"/>
      <c r="AD59" s="485"/>
      <c r="AE59" s="489"/>
      <c r="AF59" s="485"/>
      <c r="AG59" s="485"/>
      <c r="AH59" s="485"/>
      <c r="AI59" s="489"/>
      <c r="AJ59" s="485"/>
      <c r="AK59" s="485"/>
      <c r="AL59" s="485"/>
      <c r="AM59" s="489"/>
    </row>
    <row r="60" spans="1:39" ht="13.5" customHeight="1" x14ac:dyDescent="0.25">
      <c r="A60" s="482" t="s">
        <v>65</v>
      </c>
      <c r="B60" s="12" t="s">
        <v>66</v>
      </c>
      <c r="C60" s="484" t="s">
        <v>11</v>
      </c>
      <c r="D60" s="484"/>
      <c r="E60" s="484"/>
      <c r="F60" s="484"/>
      <c r="G60" s="484"/>
      <c r="H60" s="484"/>
      <c r="I60" s="484"/>
      <c r="J60" s="484"/>
      <c r="K60" s="484"/>
      <c r="L60" s="484"/>
      <c r="M60" s="484"/>
      <c r="N60" s="484"/>
      <c r="O60" s="484"/>
      <c r="P60" s="484"/>
      <c r="Q60" s="484"/>
      <c r="R60" s="484"/>
      <c r="S60" s="488"/>
      <c r="T60" s="484"/>
      <c r="U60" s="484"/>
      <c r="V60" s="484"/>
      <c r="W60" s="488"/>
      <c r="X60" s="484"/>
      <c r="Y60" s="484"/>
      <c r="Z60" s="484"/>
      <c r="AA60" s="488"/>
      <c r="AB60" s="484"/>
      <c r="AC60" s="484"/>
      <c r="AD60" s="484"/>
      <c r="AE60" s="488"/>
      <c r="AF60" s="484"/>
      <c r="AG60" s="484"/>
      <c r="AH60" s="484"/>
      <c r="AI60" s="488"/>
      <c r="AJ60" s="484"/>
      <c r="AK60" s="484"/>
      <c r="AL60" s="484"/>
      <c r="AM60" s="488"/>
    </row>
    <row r="61" spans="1:39" ht="26.25" customHeight="1" x14ac:dyDescent="0.25">
      <c r="A61" s="493"/>
      <c r="B61" s="22" t="s">
        <v>58</v>
      </c>
      <c r="C61" s="480"/>
      <c r="D61" s="480"/>
      <c r="E61" s="480"/>
      <c r="F61" s="480"/>
      <c r="G61" s="480"/>
      <c r="H61" s="480"/>
      <c r="I61" s="480"/>
      <c r="J61" s="480"/>
      <c r="K61" s="480"/>
      <c r="L61" s="480"/>
      <c r="M61" s="480"/>
      <c r="N61" s="480"/>
      <c r="O61" s="480"/>
      <c r="P61" s="480"/>
      <c r="Q61" s="480"/>
      <c r="R61" s="480"/>
      <c r="S61" s="478"/>
      <c r="T61" s="480"/>
      <c r="U61" s="480"/>
      <c r="V61" s="480"/>
      <c r="W61" s="478"/>
      <c r="X61" s="480"/>
      <c r="Y61" s="480"/>
      <c r="Z61" s="480"/>
      <c r="AA61" s="478"/>
      <c r="AB61" s="480"/>
      <c r="AC61" s="480"/>
      <c r="AD61" s="480"/>
      <c r="AE61" s="478"/>
      <c r="AF61" s="480"/>
      <c r="AG61" s="480"/>
      <c r="AH61" s="480"/>
      <c r="AI61" s="478"/>
      <c r="AJ61" s="480"/>
      <c r="AK61" s="480"/>
      <c r="AL61" s="480"/>
      <c r="AM61" s="478"/>
    </row>
    <row r="62" spans="1:39" s="17" customFormat="1" ht="12.75" customHeight="1" x14ac:dyDescent="0.25">
      <c r="A62" s="493"/>
      <c r="B62" s="23" t="s">
        <v>59</v>
      </c>
      <c r="C62" s="480"/>
      <c r="D62" s="250">
        <v>0</v>
      </c>
      <c r="E62" s="250">
        <v>0</v>
      </c>
      <c r="F62" s="250">
        <v>0</v>
      </c>
      <c r="G62" s="250">
        <v>0</v>
      </c>
      <c r="H62" s="250">
        <v>0</v>
      </c>
      <c r="I62" s="250">
        <v>0</v>
      </c>
      <c r="J62" s="250">
        <v>0</v>
      </c>
      <c r="K62" s="250">
        <v>0</v>
      </c>
      <c r="L62" s="250">
        <v>0</v>
      </c>
      <c r="M62" s="250">
        <v>0</v>
      </c>
      <c r="N62" s="250">
        <v>0</v>
      </c>
      <c r="O62" s="250">
        <v>0</v>
      </c>
      <c r="P62" s="315">
        <v>0</v>
      </c>
      <c r="Q62" s="315">
        <v>0</v>
      </c>
      <c r="R62" s="315">
        <v>0</v>
      </c>
      <c r="S62" s="316">
        <v>0</v>
      </c>
      <c r="T62" s="315">
        <v>0</v>
      </c>
      <c r="U62" s="315">
        <v>0</v>
      </c>
      <c r="V62" s="315">
        <v>0</v>
      </c>
      <c r="W62" s="316">
        <v>0</v>
      </c>
      <c r="X62" s="315">
        <v>0</v>
      </c>
      <c r="Y62" s="315">
        <v>0</v>
      </c>
      <c r="Z62" s="315">
        <v>0</v>
      </c>
      <c r="AA62" s="316">
        <v>0</v>
      </c>
      <c r="AB62" s="250">
        <v>0</v>
      </c>
      <c r="AC62" s="250">
        <v>0</v>
      </c>
      <c r="AD62" s="250">
        <v>0</v>
      </c>
      <c r="AE62" s="252">
        <v>0</v>
      </c>
      <c r="AF62" s="250">
        <v>0</v>
      </c>
      <c r="AG62" s="250">
        <v>0</v>
      </c>
      <c r="AH62" s="250">
        <v>0</v>
      </c>
      <c r="AI62" s="252">
        <v>0</v>
      </c>
      <c r="AJ62" s="250">
        <v>0</v>
      </c>
      <c r="AK62" s="250">
        <v>0</v>
      </c>
      <c r="AL62" s="250">
        <v>0</v>
      </c>
      <c r="AM62" s="252">
        <v>0</v>
      </c>
    </row>
    <row r="63" spans="1:39" s="17" customFormat="1" ht="12.75" customHeight="1" x14ac:dyDescent="0.25">
      <c r="A63" s="493"/>
      <c r="B63" s="23" t="s">
        <v>60</v>
      </c>
      <c r="C63" s="480"/>
      <c r="D63" s="250">
        <v>0</v>
      </c>
      <c r="E63" s="250">
        <v>0</v>
      </c>
      <c r="F63" s="250">
        <v>0</v>
      </c>
      <c r="G63" s="250">
        <v>0</v>
      </c>
      <c r="H63" s="250">
        <v>0</v>
      </c>
      <c r="I63" s="250">
        <v>0</v>
      </c>
      <c r="J63" s="250">
        <v>0</v>
      </c>
      <c r="K63" s="250">
        <v>0</v>
      </c>
      <c r="L63" s="250">
        <v>0</v>
      </c>
      <c r="M63" s="250">
        <v>0</v>
      </c>
      <c r="N63" s="250">
        <v>0</v>
      </c>
      <c r="O63" s="250">
        <v>0</v>
      </c>
      <c r="P63" s="315">
        <v>0</v>
      </c>
      <c r="Q63" s="315">
        <v>0</v>
      </c>
      <c r="R63" s="315">
        <v>0</v>
      </c>
      <c r="S63" s="316">
        <v>0</v>
      </c>
      <c r="T63" s="315">
        <v>0</v>
      </c>
      <c r="U63" s="315">
        <v>0</v>
      </c>
      <c r="V63" s="315">
        <v>0</v>
      </c>
      <c r="W63" s="316">
        <v>0</v>
      </c>
      <c r="X63" s="315">
        <v>0</v>
      </c>
      <c r="Y63" s="315">
        <v>0</v>
      </c>
      <c r="Z63" s="315">
        <v>0</v>
      </c>
      <c r="AA63" s="316">
        <v>0</v>
      </c>
      <c r="AB63" s="250">
        <v>0</v>
      </c>
      <c r="AC63" s="250">
        <v>0</v>
      </c>
      <c r="AD63" s="250">
        <v>0</v>
      </c>
      <c r="AE63" s="252">
        <v>0</v>
      </c>
      <c r="AF63" s="250">
        <v>0</v>
      </c>
      <c r="AG63" s="250">
        <v>0</v>
      </c>
      <c r="AH63" s="250">
        <v>0</v>
      </c>
      <c r="AI63" s="252">
        <v>0</v>
      </c>
      <c r="AJ63" s="250">
        <v>0</v>
      </c>
      <c r="AK63" s="250">
        <v>0</v>
      </c>
      <c r="AL63" s="250">
        <v>0</v>
      </c>
      <c r="AM63" s="252">
        <v>0</v>
      </c>
    </row>
    <row r="64" spans="1:39" ht="12.75" customHeight="1" x14ac:dyDescent="0.25">
      <c r="A64" s="493"/>
      <c r="B64" s="23" t="s">
        <v>61</v>
      </c>
      <c r="C64" s="480"/>
      <c r="D64" s="480">
        <v>0</v>
      </c>
      <c r="E64" s="480">
        <v>0</v>
      </c>
      <c r="F64" s="480">
        <v>0</v>
      </c>
      <c r="G64" s="480">
        <v>0</v>
      </c>
      <c r="H64" s="480">
        <v>0</v>
      </c>
      <c r="I64" s="480">
        <v>0</v>
      </c>
      <c r="J64" s="480">
        <v>0</v>
      </c>
      <c r="K64" s="480">
        <v>0</v>
      </c>
      <c r="L64" s="480">
        <v>0</v>
      </c>
      <c r="M64" s="480">
        <v>0</v>
      </c>
      <c r="N64" s="480">
        <v>0</v>
      </c>
      <c r="O64" s="480">
        <v>0</v>
      </c>
      <c r="P64" s="480">
        <v>0</v>
      </c>
      <c r="Q64" s="480">
        <v>0</v>
      </c>
      <c r="R64" s="480">
        <v>0</v>
      </c>
      <c r="S64" s="478">
        <v>0</v>
      </c>
      <c r="T64" s="480">
        <v>0</v>
      </c>
      <c r="U64" s="480">
        <v>0</v>
      </c>
      <c r="V64" s="480">
        <v>0</v>
      </c>
      <c r="W64" s="478">
        <v>0</v>
      </c>
      <c r="X64" s="480">
        <v>0</v>
      </c>
      <c r="Y64" s="480">
        <v>0</v>
      </c>
      <c r="Z64" s="480">
        <v>0</v>
      </c>
      <c r="AA64" s="478">
        <v>0</v>
      </c>
      <c r="AB64" s="480">
        <v>0</v>
      </c>
      <c r="AC64" s="480">
        <v>0</v>
      </c>
      <c r="AD64" s="480">
        <v>0</v>
      </c>
      <c r="AE64" s="478">
        <v>0</v>
      </c>
      <c r="AF64" s="480">
        <v>0</v>
      </c>
      <c r="AG64" s="480">
        <v>0</v>
      </c>
      <c r="AH64" s="480">
        <v>0</v>
      </c>
      <c r="AI64" s="478">
        <v>0</v>
      </c>
      <c r="AJ64" s="480">
        <v>0</v>
      </c>
      <c r="AK64" s="480">
        <v>0</v>
      </c>
      <c r="AL64" s="480">
        <v>0</v>
      </c>
      <c r="AM64" s="478">
        <v>0</v>
      </c>
    </row>
    <row r="65" spans="1:39" ht="12.75" customHeight="1" x14ac:dyDescent="0.25">
      <c r="A65" s="483"/>
      <c r="B65" s="14" t="s">
        <v>62</v>
      </c>
      <c r="C65" s="485"/>
      <c r="D65" s="485"/>
      <c r="E65" s="485"/>
      <c r="F65" s="485"/>
      <c r="G65" s="485"/>
      <c r="H65" s="485"/>
      <c r="I65" s="485"/>
      <c r="J65" s="485"/>
      <c r="K65" s="485"/>
      <c r="L65" s="485"/>
      <c r="M65" s="485"/>
      <c r="N65" s="485"/>
      <c r="O65" s="485"/>
      <c r="P65" s="485"/>
      <c r="Q65" s="485"/>
      <c r="R65" s="485"/>
      <c r="S65" s="489"/>
      <c r="T65" s="485"/>
      <c r="U65" s="485"/>
      <c r="V65" s="485"/>
      <c r="W65" s="489"/>
      <c r="X65" s="485"/>
      <c r="Y65" s="485"/>
      <c r="Z65" s="485"/>
      <c r="AA65" s="489"/>
      <c r="AB65" s="485"/>
      <c r="AC65" s="485"/>
      <c r="AD65" s="485"/>
      <c r="AE65" s="489"/>
      <c r="AF65" s="485"/>
      <c r="AG65" s="485"/>
      <c r="AH65" s="485"/>
      <c r="AI65" s="489"/>
      <c r="AJ65" s="485"/>
      <c r="AK65" s="485"/>
      <c r="AL65" s="485"/>
      <c r="AM65" s="489"/>
    </row>
    <row r="66" spans="1:39" ht="12.75" customHeight="1" x14ac:dyDescent="0.25">
      <c r="A66" s="482">
        <v>7</v>
      </c>
      <c r="B66" s="12" t="s">
        <v>67</v>
      </c>
      <c r="C66" s="484" t="s">
        <v>68</v>
      </c>
      <c r="D66" s="479">
        <v>15</v>
      </c>
      <c r="E66" s="484">
        <v>0</v>
      </c>
      <c r="F66" s="479">
        <v>15</v>
      </c>
      <c r="G66" s="484">
        <v>0</v>
      </c>
      <c r="H66" s="484">
        <v>0</v>
      </c>
      <c r="I66" s="484">
        <v>0</v>
      </c>
      <c r="J66" s="484">
        <v>0</v>
      </c>
      <c r="K66" s="484">
        <v>0</v>
      </c>
      <c r="L66" s="499">
        <v>23</v>
      </c>
      <c r="M66" s="484">
        <v>0</v>
      </c>
      <c r="N66" s="499">
        <v>20</v>
      </c>
      <c r="O66" s="484">
        <v>0</v>
      </c>
      <c r="P66" s="500">
        <f>23</f>
        <v>23</v>
      </c>
      <c r="Q66" s="484">
        <v>0</v>
      </c>
      <c r="R66" s="500">
        <f>P66</f>
        <v>23</v>
      </c>
      <c r="S66" s="488">
        <v>0</v>
      </c>
      <c r="T66" s="500">
        <f>22.8*23/16</f>
        <v>33</v>
      </c>
      <c r="U66" s="484">
        <v>0</v>
      </c>
      <c r="V66" s="500">
        <f>31</f>
        <v>31</v>
      </c>
      <c r="W66" s="488">
        <v>0</v>
      </c>
      <c r="X66" s="500">
        <f>T66</f>
        <v>33</v>
      </c>
      <c r="Y66" s="484">
        <v>0</v>
      </c>
      <c r="Z66" s="500">
        <f>V66</f>
        <v>31</v>
      </c>
      <c r="AA66" s="488">
        <v>0</v>
      </c>
      <c r="AB66" s="500">
        <f>X66*19/28</f>
        <v>22</v>
      </c>
      <c r="AC66" s="484">
        <v>0</v>
      </c>
      <c r="AD66" s="500">
        <v>22</v>
      </c>
      <c r="AE66" s="488">
        <v>0</v>
      </c>
      <c r="AF66" s="500">
        <f>AB66</f>
        <v>22</v>
      </c>
      <c r="AG66" s="484">
        <v>0</v>
      </c>
      <c r="AH66" s="500">
        <f>AD66</f>
        <v>22</v>
      </c>
      <c r="AI66" s="488">
        <v>0</v>
      </c>
      <c r="AJ66" s="500">
        <v>49</v>
      </c>
      <c r="AK66" s="484">
        <v>0</v>
      </c>
      <c r="AL66" s="500">
        <v>47</v>
      </c>
      <c r="AM66" s="488">
        <v>0</v>
      </c>
    </row>
    <row r="67" spans="1:39" ht="12.75" customHeight="1" x14ac:dyDescent="0.25">
      <c r="A67" s="483"/>
      <c r="B67" s="13" t="s">
        <v>69</v>
      </c>
      <c r="C67" s="485"/>
      <c r="D67" s="496"/>
      <c r="E67" s="485"/>
      <c r="F67" s="496"/>
      <c r="G67" s="485"/>
      <c r="H67" s="485"/>
      <c r="I67" s="485"/>
      <c r="J67" s="485"/>
      <c r="K67" s="485"/>
      <c r="L67" s="500"/>
      <c r="M67" s="485"/>
      <c r="N67" s="500"/>
      <c r="O67" s="485"/>
      <c r="P67" s="487"/>
      <c r="Q67" s="485"/>
      <c r="R67" s="487"/>
      <c r="S67" s="489"/>
      <c r="T67" s="487"/>
      <c r="U67" s="485"/>
      <c r="V67" s="487"/>
      <c r="W67" s="489"/>
      <c r="X67" s="487"/>
      <c r="Y67" s="485"/>
      <c r="Z67" s="487"/>
      <c r="AA67" s="489"/>
      <c r="AB67" s="487"/>
      <c r="AC67" s="485"/>
      <c r="AD67" s="487"/>
      <c r="AE67" s="489"/>
      <c r="AF67" s="487"/>
      <c r="AG67" s="485"/>
      <c r="AH67" s="487"/>
      <c r="AI67" s="489"/>
      <c r="AJ67" s="487"/>
      <c r="AK67" s="485"/>
      <c r="AL67" s="487"/>
      <c r="AM67" s="489"/>
    </row>
    <row r="68" spans="1:39" s="17" customFormat="1" ht="12.75" customHeight="1" x14ac:dyDescent="0.25">
      <c r="A68" s="15"/>
      <c r="B68" s="19" t="s">
        <v>34</v>
      </c>
      <c r="C68" s="265"/>
      <c r="D68" s="265"/>
      <c r="E68" s="265"/>
      <c r="F68" s="265"/>
      <c r="G68" s="265"/>
      <c r="H68" s="265"/>
      <c r="I68" s="265"/>
      <c r="J68" s="265"/>
      <c r="K68" s="265"/>
      <c r="L68" s="261"/>
      <c r="M68" s="265"/>
      <c r="N68" s="261"/>
      <c r="O68" s="265"/>
      <c r="P68" s="312"/>
      <c r="Q68" s="311"/>
      <c r="R68" s="312"/>
      <c r="S68" s="310"/>
      <c r="T68" s="312"/>
      <c r="U68" s="311"/>
      <c r="V68" s="312"/>
      <c r="W68" s="310"/>
      <c r="X68" s="312"/>
      <c r="Y68" s="311"/>
      <c r="Z68" s="312"/>
      <c r="AA68" s="310"/>
      <c r="AB68" s="261"/>
      <c r="AC68" s="265"/>
      <c r="AD68" s="261"/>
      <c r="AE68" s="249"/>
      <c r="AF68" s="261"/>
      <c r="AG68" s="265"/>
      <c r="AH68" s="261"/>
      <c r="AI68" s="249"/>
      <c r="AJ68" s="261"/>
      <c r="AK68" s="265"/>
      <c r="AL68" s="261"/>
      <c r="AM68" s="249"/>
    </row>
    <row r="69" spans="1:39" ht="11.25" customHeight="1" x14ac:dyDescent="0.25">
      <c r="A69" s="482" t="s">
        <v>70</v>
      </c>
      <c r="B69" s="12" t="s">
        <v>71</v>
      </c>
      <c r="C69" s="481" t="s">
        <v>68</v>
      </c>
      <c r="D69" s="484"/>
      <c r="E69" s="484"/>
      <c r="F69" s="484"/>
      <c r="G69" s="484"/>
      <c r="H69" s="484"/>
      <c r="I69" s="484"/>
      <c r="J69" s="484"/>
      <c r="K69" s="484"/>
      <c r="L69" s="495"/>
      <c r="M69" s="484"/>
      <c r="N69" s="495"/>
      <c r="O69" s="484"/>
      <c r="P69" s="495"/>
      <c r="Q69" s="484"/>
      <c r="R69" s="495"/>
      <c r="S69" s="488"/>
      <c r="T69" s="495"/>
      <c r="U69" s="484"/>
      <c r="V69" s="495"/>
      <c r="W69" s="488"/>
      <c r="X69" s="495"/>
      <c r="Y69" s="484"/>
      <c r="Z69" s="495"/>
      <c r="AA69" s="488"/>
      <c r="AB69" s="495"/>
      <c r="AC69" s="484"/>
      <c r="AD69" s="495"/>
      <c r="AE69" s="488"/>
      <c r="AF69" s="495"/>
      <c r="AG69" s="484"/>
      <c r="AH69" s="495"/>
      <c r="AI69" s="488"/>
      <c r="AJ69" s="495"/>
      <c r="AK69" s="484"/>
      <c r="AL69" s="495"/>
      <c r="AM69" s="488"/>
    </row>
    <row r="70" spans="1:39" ht="25.5" customHeight="1" x14ac:dyDescent="0.25">
      <c r="A70" s="493"/>
      <c r="B70" s="22" t="s">
        <v>58</v>
      </c>
      <c r="C70" s="481"/>
      <c r="D70" s="480"/>
      <c r="E70" s="480"/>
      <c r="F70" s="480"/>
      <c r="G70" s="480"/>
      <c r="H70" s="480"/>
      <c r="I70" s="480"/>
      <c r="J70" s="480"/>
      <c r="K70" s="480"/>
      <c r="L70" s="479"/>
      <c r="M70" s="480"/>
      <c r="N70" s="479"/>
      <c r="O70" s="480"/>
      <c r="P70" s="479"/>
      <c r="Q70" s="480"/>
      <c r="R70" s="479"/>
      <c r="S70" s="478"/>
      <c r="T70" s="479"/>
      <c r="U70" s="480"/>
      <c r="V70" s="479"/>
      <c r="W70" s="478"/>
      <c r="X70" s="479"/>
      <c r="Y70" s="480"/>
      <c r="Z70" s="479"/>
      <c r="AA70" s="478"/>
      <c r="AB70" s="479"/>
      <c r="AC70" s="480"/>
      <c r="AD70" s="479"/>
      <c r="AE70" s="478"/>
      <c r="AF70" s="479"/>
      <c r="AG70" s="480"/>
      <c r="AH70" s="479"/>
      <c r="AI70" s="478"/>
      <c r="AJ70" s="479"/>
      <c r="AK70" s="480"/>
      <c r="AL70" s="479"/>
      <c r="AM70" s="478"/>
    </row>
    <row r="71" spans="1:39" s="17" customFormat="1" ht="12.75" customHeight="1" x14ac:dyDescent="0.25">
      <c r="A71" s="493"/>
      <c r="B71" s="23" t="s">
        <v>59</v>
      </c>
      <c r="C71" s="481"/>
      <c r="D71" s="250">
        <v>0</v>
      </c>
      <c r="E71" s="250">
        <v>0</v>
      </c>
      <c r="F71" s="250">
        <v>0</v>
      </c>
      <c r="G71" s="250">
        <v>0</v>
      </c>
      <c r="H71" s="250">
        <v>0</v>
      </c>
      <c r="I71" s="250">
        <v>0</v>
      </c>
      <c r="J71" s="250">
        <v>0</v>
      </c>
      <c r="K71" s="250">
        <v>0</v>
      </c>
      <c r="L71" s="250">
        <v>0</v>
      </c>
      <c r="M71" s="250">
        <v>0</v>
      </c>
      <c r="N71" s="250">
        <v>0</v>
      </c>
      <c r="O71" s="250">
        <v>0</v>
      </c>
      <c r="P71" s="317">
        <v>0</v>
      </c>
      <c r="Q71" s="315">
        <v>0</v>
      </c>
      <c r="R71" s="317">
        <v>0</v>
      </c>
      <c r="S71" s="316">
        <v>0</v>
      </c>
      <c r="T71" s="317">
        <v>0</v>
      </c>
      <c r="U71" s="315">
        <v>0</v>
      </c>
      <c r="V71" s="317">
        <v>0</v>
      </c>
      <c r="W71" s="316">
        <v>0</v>
      </c>
      <c r="X71" s="317">
        <v>0</v>
      </c>
      <c r="Y71" s="315">
        <v>0</v>
      </c>
      <c r="Z71" s="317">
        <v>0</v>
      </c>
      <c r="AA71" s="316">
        <v>0</v>
      </c>
      <c r="AB71" s="251">
        <v>0</v>
      </c>
      <c r="AC71" s="250">
        <v>0</v>
      </c>
      <c r="AD71" s="251">
        <v>0</v>
      </c>
      <c r="AE71" s="252">
        <v>0</v>
      </c>
      <c r="AF71" s="251">
        <v>0</v>
      </c>
      <c r="AG71" s="250">
        <v>0</v>
      </c>
      <c r="AH71" s="251">
        <v>0</v>
      </c>
      <c r="AI71" s="252">
        <v>0</v>
      </c>
      <c r="AJ71" s="251">
        <v>0</v>
      </c>
      <c r="AK71" s="250">
        <v>0</v>
      </c>
      <c r="AL71" s="251">
        <v>0</v>
      </c>
      <c r="AM71" s="252">
        <v>0</v>
      </c>
    </row>
    <row r="72" spans="1:39" s="17" customFormat="1" ht="12.75" customHeight="1" x14ac:dyDescent="0.25">
      <c r="A72" s="493"/>
      <c r="B72" s="23" t="s">
        <v>60</v>
      </c>
      <c r="C72" s="481"/>
      <c r="D72" s="250">
        <v>0</v>
      </c>
      <c r="E72" s="250">
        <v>0</v>
      </c>
      <c r="F72" s="250">
        <v>0</v>
      </c>
      <c r="G72" s="250">
        <v>0</v>
      </c>
      <c r="H72" s="250">
        <v>0</v>
      </c>
      <c r="I72" s="250">
        <v>0</v>
      </c>
      <c r="J72" s="250">
        <v>0</v>
      </c>
      <c r="K72" s="250">
        <v>0</v>
      </c>
      <c r="L72" s="250">
        <v>0</v>
      </c>
      <c r="M72" s="250">
        <v>0</v>
      </c>
      <c r="N72" s="250">
        <v>0</v>
      </c>
      <c r="O72" s="250">
        <v>0</v>
      </c>
      <c r="P72" s="317">
        <v>0</v>
      </c>
      <c r="Q72" s="315">
        <v>0</v>
      </c>
      <c r="R72" s="317">
        <v>0</v>
      </c>
      <c r="S72" s="316">
        <v>0</v>
      </c>
      <c r="T72" s="317">
        <v>0</v>
      </c>
      <c r="U72" s="315">
        <v>0</v>
      </c>
      <c r="V72" s="317">
        <v>0</v>
      </c>
      <c r="W72" s="316">
        <v>0</v>
      </c>
      <c r="X72" s="317">
        <v>0</v>
      </c>
      <c r="Y72" s="315">
        <v>0</v>
      </c>
      <c r="Z72" s="317">
        <v>0</v>
      </c>
      <c r="AA72" s="316">
        <v>0</v>
      </c>
      <c r="AB72" s="251">
        <v>0</v>
      </c>
      <c r="AC72" s="250">
        <v>0</v>
      </c>
      <c r="AD72" s="251">
        <v>0</v>
      </c>
      <c r="AE72" s="252">
        <v>0</v>
      </c>
      <c r="AF72" s="251">
        <v>0</v>
      </c>
      <c r="AG72" s="250">
        <v>0</v>
      </c>
      <c r="AH72" s="251">
        <v>0</v>
      </c>
      <c r="AI72" s="252">
        <v>0</v>
      </c>
      <c r="AJ72" s="251">
        <v>0</v>
      </c>
      <c r="AK72" s="250">
        <v>0</v>
      </c>
      <c r="AL72" s="251">
        <v>0</v>
      </c>
      <c r="AM72" s="252">
        <v>0</v>
      </c>
    </row>
    <row r="73" spans="1:39" ht="12.75" customHeight="1" x14ac:dyDescent="0.25">
      <c r="A73" s="493"/>
      <c r="B73" s="23" t="s">
        <v>61</v>
      </c>
      <c r="C73" s="481"/>
      <c r="D73" s="479">
        <v>11</v>
      </c>
      <c r="E73" s="480">
        <v>0</v>
      </c>
      <c r="F73" s="479">
        <v>11</v>
      </c>
      <c r="G73" s="480">
        <v>0</v>
      </c>
      <c r="H73" s="480">
        <v>0</v>
      </c>
      <c r="I73" s="480">
        <v>0</v>
      </c>
      <c r="J73" s="480">
        <v>0</v>
      </c>
      <c r="K73" s="478">
        <v>0</v>
      </c>
      <c r="L73" s="494">
        <v>18</v>
      </c>
      <c r="M73" s="478">
        <v>0</v>
      </c>
      <c r="N73" s="494">
        <v>15</v>
      </c>
      <c r="O73" s="478">
        <v>0</v>
      </c>
      <c r="P73" s="479">
        <v>19</v>
      </c>
      <c r="Q73" s="478">
        <v>0</v>
      </c>
      <c r="R73" s="479">
        <v>19</v>
      </c>
      <c r="S73" s="478">
        <v>0</v>
      </c>
      <c r="T73" s="479">
        <v>27</v>
      </c>
      <c r="U73" s="478">
        <v>0</v>
      </c>
      <c r="V73" s="479">
        <v>25</v>
      </c>
      <c r="W73" s="478">
        <v>0</v>
      </c>
      <c r="X73" s="479">
        <v>27</v>
      </c>
      <c r="Y73" s="478">
        <v>0</v>
      </c>
      <c r="Z73" s="479">
        <v>25</v>
      </c>
      <c r="AA73" s="478">
        <v>0</v>
      </c>
      <c r="AB73" s="479">
        <v>17</v>
      </c>
      <c r="AC73" s="478">
        <v>0</v>
      </c>
      <c r="AD73" s="479">
        <v>17</v>
      </c>
      <c r="AE73" s="478">
        <v>0</v>
      </c>
      <c r="AF73" s="479">
        <v>17</v>
      </c>
      <c r="AG73" s="478">
        <v>0</v>
      </c>
      <c r="AH73" s="479">
        <v>17</v>
      </c>
      <c r="AI73" s="478">
        <v>0</v>
      </c>
      <c r="AJ73" s="479">
        <v>41</v>
      </c>
      <c r="AK73" s="478">
        <v>0</v>
      </c>
      <c r="AL73" s="479">
        <v>39</v>
      </c>
      <c r="AM73" s="478">
        <v>0</v>
      </c>
    </row>
    <row r="74" spans="1:39" ht="12.75" customHeight="1" x14ac:dyDescent="0.25">
      <c r="A74" s="483"/>
      <c r="B74" s="14" t="s">
        <v>62</v>
      </c>
      <c r="C74" s="481"/>
      <c r="D74" s="496"/>
      <c r="E74" s="485"/>
      <c r="F74" s="496"/>
      <c r="G74" s="485"/>
      <c r="H74" s="485"/>
      <c r="I74" s="485"/>
      <c r="J74" s="485"/>
      <c r="K74" s="489"/>
      <c r="L74" s="500"/>
      <c r="M74" s="489"/>
      <c r="N74" s="500"/>
      <c r="O74" s="489"/>
      <c r="P74" s="479"/>
      <c r="Q74" s="489"/>
      <c r="R74" s="479"/>
      <c r="S74" s="489"/>
      <c r="T74" s="479"/>
      <c r="U74" s="489"/>
      <c r="V74" s="479"/>
      <c r="W74" s="489"/>
      <c r="X74" s="479"/>
      <c r="Y74" s="489"/>
      <c r="Z74" s="479"/>
      <c r="AA74" s="489"/>
      <c r="AB74" s="479"/>
      <c r="AC74" s="489"/>
      <c r="AD74" s="479"/>
      <c r="AE74" s="489"/>
      <c r="AF74" s="479"/>
      <c r="AG74" s="489"/>
      <c r="AH74" s="479"/>
      <c r="AI74" s="489"/>
      <c r="AJ74" s="479"/>
      <c r="AK74" s="489"/>
      <c r="AL74" s="479"/>
      <c r="AM74" s="489"/>
    </row>
    <row r="75" spans="1:39" ht="12.75" customHeight="1" x14ac:dyDescent="0.25">
      <c r="A75" s="482" t="s">
        <v>72</v>
      </c>
      <c r="B75" s="12" t="s">
        <v>73</v>
      </c>
      <c r="C75" s="481" t="s">
        <v>68</v>
      </c>
      <c r="D75" s="484"/>
      <c r="E75" s="484"/>
      <c r="F75" s="484"/>
      <c r="G75" s="484"/>
      <c r="H75" s="484"/>
      <c r="I75" s="484"/>
      <c r="J75" s="484"/>
      <c r="K75" s="484"/>
      <c r="L75" s="495"/>
      <c r="M75" s="484"/>
      <c r="N75" s="495"/>
      <c r="O75" s="484"/>
      <c r="P75" s="495"/>
      <c r="Q75" s="484"/>
      <c r="R75" s="495"/>
      <c r="S75" s="488"/>
      <c r="T75" s="495"/>
      <c r="U75" s="484"/>
      <c r="V75" s="495"/>
      <c r="W75" s="488"/>
      <c r="X75" s="495"/>
      <c r="Y75" s="484"/>
      <c r="Z75" s="495"/>
      <c r="AA75" s="488"/>
      <c r="AB75" s="495"/>
      <c r="AC75" s="484"/>
      <c r="AD75" s="495"/>
      <c r="AE75" s="488"/>
      <c r="AF75" s="495"/>
      <c r="AG75" s="484"/>
      <c r="AH75" s="495"/>
      <c r="AI75" s="488"/>
      <c r="AJ75" s="495"/>
      <c r="AK75" s="484"/>
      <c r="AL75" s="495"/>
      <c r="AM75" s="488"/>
    </row>
    <row r="76" spans="1:39" ht="12.75" customHeight="1" x14ac:dyDescent="0.25">
      <c r="A76" s="493"/>
      <c r="B76" s="24" t="s">
        <v>74</v>
      </c>
      <c r="C76" s="481"/>
      <c r="D76" s="480"/>
      <c r="E76" s="480"/>
      <c r="F76" s="480"/>
      <c r="G76" s="480"/>
      <c r="H76" s="480"/>
      <c r="I76" s="480"/>
      <c r="J76" s="480"/>
      <c r="K76" s="480"/>
      <c r="L76" s="479"/>
      <c r="M76" s="480"/>
      <c r="N76" s="479"/>
      <c r="O76" s="480"/>
      <c r="P76" s="479"/>
      <c r="Q76" s="480"/>
      <c r="R76" s="479"/>
      <c r="S76" s="478"/>
      <c r="T76" s="479"/>
      <c r="U76" s="480"/>
      <c r="V76" s="479"/>
      <c r="W76" s="478"/>
      <c r="X76" s="479"/>
      <c r="Y76" s="480"/>
      <c r="Z76" s="479"/>
      <c r="AA76" s="478"/>
      <c r="AB76" s="479"/>
      <c r="AC76" s="480"/>
      <c r="AD76" s="479"/>
      <c r="AE76" s="478"/>
      <c r="AF76" s="479"/>
      <c r="AG76" s="480"/>
      <c r="AH76" s="479"/>
      <c r="AI76" s="478"/>
      <c r="AJ76" s="479"/>
      <c r="AK76" s="480"/>
      <c r="AL76" s="479"/>
      <c r="AM76" s="478"/>
    </row>
    <row r="77" spans="1:39" ht="12.75" customHeight="1" x14ac:dyDescent="0.25">
      <c r="A77" s="493"/>
      <c r="B77" s="24" t="s">
        <v>75</v>
      </c>
      <c r="C77" s="481"/>
      <c r="D77" s="480"/>
      <c r="E77" s="480"/>
      <c r="F77" s="480"/>
      <c r="G77" s="480"/>
      <c r="H77" s="480"/>
      <c r="I77" s="480"/>
      <c r="J77" s="480"/>
      <c r="K77" s="480"/>
      <c r="L77" s="479"/>
      <c r="M77" s="480"/>
      <c r="N77" s="479"/>
      <c r="O77" s="480"/>
      <c r="P77" s="479"/>
      <c r="Q77" s="480"/>
      <c r="R77" s="479"/>
      <c r="S77" s="478"/>
      <c r="T77" s="479"/>
      <c r="U77" s="480"/>
      <c r="V77" s="479"/>
      <c r="W77" s="478"/>
      <c r="X77" s="479"/>
      <c r="Y77" s="480"/>
      <c r="Z77" s="479"/>
      <c r="AA77" s="478"/>
      <c r="AB77" s="479"/>
      <c r="AC77" s="480"/>
      <c r="AD77" s="479"/>
      <c r="AE77" s="478"/>
      <c r="AF77" s="479"/>
      <c r="AG77" s="480"/>
      <c r="AH77" s="479"/>
      <c r="AI77" s="478"/>
      <c r="AJ77" s="479"/>
      <c r="AK77" s="480"/>
      <c r="AL77" s="479"/>
      <c r="AM77" s="478"/>
    </row>
    <row r="78" spans="1:39" ht="12.75" customHeight="1" x14ac:dyDescent="0.25">
      <c r="A78" s="493"/>
      <c r="B78" s="23" t="s">
        <v>76</v>
      </c>
      <c r="C78" s="481"/>
      <c r="D78" s="480">
        <v>0</v>
      </c>
      <c r="E78" s="480">
        <v>0</v>
      </c>
      <c r="F78" s="480">
        <v>0</v>
      </c>
      <c r="G78" s="480">
        <v>0</v>
      </c>
      <c r="H78" s="480">
        <v>0</v>
      </c>
      <c r="I78" s="480">
        <v>0</v>
      </c>
      <c r="J78" s="480">
        <v>0</v>
      </c>
      <c r="K78" s="480">
        <v>0</v>
      </c>
      <c r="L78" s="480">
        <v>0</v>
      </c>
      <c r="M78" s="480">
        <v>0</v>
      </c>
      <c r="N78" s="480">
        <v>0</v>
      </c>
      <c r="O78" s="480">
        <v>0</v>
      </c>
      <c r="P78" s="479">
        <v>0</v>
      </c>
      <c r="Q78" s="480">
        <v>0</v>
      </c>
      <c r="R78" s="479">
        <v>0</v>
      </c>
      <c r="S78" s="478">
        <v>0</v>
      </c>
      <c r="T78" s="479">
        <v>0</v>
      </c>
      <c r="U78" s="480">
        <v>0</v>
      </c>
      <c r="V78" s="479">
        <v>0</v>
      </c>
      <c r="W78" s="478">
        <v>0</v>
      </c>
      <c r="X78" s="479">
        <v>0</v>
      </c>
      <c r="Y78" s="480">
        <v>0</v>
      </c>
      <c r="Z78" s="479">
        <v>0</v>
      </c>
      <c r="AA78" s="478">
        <v>0</v>
      </c>
      <c r="AB78" s="479">
        <v>0</v>
      </c>
      <c r="AC78" s="480">
        <v>0</v>
      </c>
      <c r="AD78" s="479">
        <v>0</v>
      </c>
      <c r="AE78" s="478">
        <v>0</v>
      </c>
      <c r="AF78" s="479">
        <v>0</v>
      </c>
      <c r="AG78" s="480">
        <v>0</v>
      </c>
      <c r="AH78" s="479">
        <v>0</v>
      </c>
      <c r="AI78" s="478">
        <v>0</v>
      </c>
      <c r="AJ78" s="479">
        <v>0</v>
      </c>
      <c r="AK78" s="480">
        <v>0</v>
      </c>
      <c r="AL78" s="479">
        <v>0</v>
      </c>
      <c r="AM78" s="478">
        <v>0</v>
      </c>
    </row>
    <row r="79" spans="1:39" ht="12.75" customHeight="1" x14ac:dyDescent="0.25">
      <c r="A79" s="493"/>
      <c r="B79" s="23" t="s">
        <v>77</v>
      </c>
      <c r="C79" s="481"/>
      <c r="D79" s="480"/>
      <c r="E79" s="480"/>
      <c r="F79" s="480"/>
      <c r="G79" s="480"/>
      <c r="H79" s="480"/>
      <c r="I79" s="480"/>
      <c r="J79" s="480"/>
      <c r="K79" s="480"/>
      <c r="L79" s="480"/>
      <c r="M79" s="480"/>
      <c r="N79" s="480"/>
      <c r="O79" s="480"/>
      <c r="P79" s="479"/>
      <c r="Q79" s="480"/>
      <c r="R79" s="479"/>
      <c r="S79" s="478"/>
      <c r="T79" s="479"/>
      <c r="U79" s="480"/>
      <c r="V79" s="479"/>
      <c r="W79" s="478"/>
      <c r="X79" s="479"/>
      <c r="Y79" s="480"/>
      <c r="Z79" s="479"/>
      <c r="AA79" s="478"/>
      <c r="AB79" s="479"/>
      <c r="AC79" s="480"/>
      <c r="AD79" s="479"/>
      <c r="AE79" s="478"/>
      <c r="AF79" s="479"/>
      <c r="AG79" s="480"/>
      <c r="AH79" s="479"/>
      <c r="AI79" s="478"/>
      <c r="AJ79" s="479"/>
      <c r="AK79" s="480"/>
      <c r="AL79" s="479"/>
      <c r="AM79" s="478"/>
    </row>
    <row r="80" spans="1:39" ht="12.75" customHeight="1" x14ac:dyDescent="0.25">
      <c r="A80" s="483"/>
      <c r="B80" s="14" t="s">
        <v>78</v>
      </c>
      <c r="C80" s="481"/>
      <c r="D80" s="255">
        <v>0</v>
      </c>
      <c r="E80" s="255">
        <v>0</v>
      </c>
      <c r="F80" s="255">
        <v>0</v>
      </c>
      <c r="G80" s="255">
        <v>0</v>
      </c>
      <c r="H80" s="255">
        <v>0</v>
      </c>
      <c r="I80" s="255">
        <v>0</v>
      </c>
      <c r="J80" s="255">
        <v>0</v>
      </c>
      <c r="K80" s="255">
        <v>0</v>
      </c>
      <c r="L80" s="255">
        <v>0</v>
      </c>
      <c r="M80" s="255">
        <v>0</v>
      </c>
      <c r="N80" s="255">
        <v>0</v>
      </c>
      <c r="O80" s="255">
        <v>0</v>
      </c>
      <c r="P80" s="317">
        <v>0</v>
      </c>
      <c r="Q80" s="308">
        <v>0</v>
      </c>
      <c r="R80" s="317">
        <v>0</v>
      </c>
      <c r="S80" s="306">
        <v>0</v>
      </c>
      <c r="T80" s="317">
        <v>0</v>
      </c>
      <c r="U80" s="308">
        <v>0</v>
      </c>
      <c r="V80" s="317">
        <v>0</v>
      </c>
      <c r="W80" s="306">
        <v>0</v>
      </c>
      <c r="X80" s="317">
        <v>0</v>
      </c>
      <c r="Y80" s="308">
        <v>0</v>
      </c>
      <c r="Z80" s="317">
        <v>0</v>
      </c>
      <c r="AA80" s="306">
        <v>0</v>
      </c>
      <c r="AB80" s="251">
        <v>0</v>
      </c>
      <c r="AC80" s="255">
        <v>0</v>
      </c>
      <c r="AD80" s="251">
        <v>0</v>
      </c>
      <c r="AE80" s="257">
        <v>0</v>
      </c>
      <c r="AF80" s="251">
        <v>0</v>
      </c>
      <c r="AG80" s="255">
        <v>0</v>
      </c>
      <c r="AH80" s="251">
        <v>0</v>
      </c>
      <c r="AI80" s="257">
        <v>0</v>
      </c>
      <c r="AJ80" s="251">
        <v>0</v>
      </c>
      <c r="AK80" s="255">
        <v>0</v>
      </c>
      <c r="AL80" s="251">
        <v>0</v>
      </c>
      <c r="AM80" s="257">
        <v>0</v>
      </c>
    </row>
    <row r="81" spans="1:39" ht="12.75" customHeight="1" x14ac:dyDescent="0.25">
      <c r="A81" s="482" t="s">
        <v>79</v>
      </c>
      <c r="B81" s="12" t="s">
        <v>73</v>
      </c>
      <c r="C81" s="481" t="s">
        <v>68</v>
      </c>
      <c r="D81" s="484"/>
      <c r="E81" s="484"/>
      <c r="F81" s="484"/>
      <c r="G81" s="484"/>
      <c r="H81" s="484"/>
      <c r="I81" s="484"/>
      <c r="J81" s="484"/>
      <c r="K81" s="484"/>
      <c r="L81" s="495"/>
      <c r="M81" s="484"/>
      <c r="N81" s="495"/>
      <c r="O81" s="484"/>
      <c r="P81" s="495"/>
      <c r="Q81" s="484"/>
      <c r="R81" s="495"/>
      <c r="S81" s="488"/>
      <c r="T81" s="495"/>
      <c r="U81" s="484"/>
      <c r="V81" s="495"/>
      <c r="W81" s="488"/>
      <c r="X81" s="495"/>
      <c r="Y81" s="484"/>
      <c r="Z81" s="495"/>
      <c r="AA81" s="488"/>
      <c r="AB81" s="495"/>
      <c r="AC81" s="484"/>
      <c r="AD81" s="495"/>
      <c r="AE81" s="488"/>
      <c r="AF81" s="495"/>
      <c r="AG81" s="484"/>
      <c r="AH81" s="495"/>
      <c r="AI81" s="488"/>
      <c r="AJ81" s="495"/>
      <c r="AK81" s="484"/>
      <c r="AL81" s="495"/>
      <c r="AM81" s="488"/>
    </row>
    <row r="82" spans="1:39" ht="12.75" customHeight="1" x14ac:dyDescent="0.25">
      <c r="A82" s="493"/>
      <c r="B82" s="24" t="s">
        <v>74</v>
      </c>
      <c r="C82" s="481"/>
      <c r="D82" s="480"/>
      <c r="E82" s="480"/>
      <c r="F82" s="480"/>
      <c r="G82" s="480"/>
      <c r="H82" s="480"/>
      <c r="I82" s="480"/>
      <c r="J82" s="480"/>
      <c r="K82" s="480"/>
      <c r="L82" s="479"/>
      <c r="M82" s="480"/>
      <c r="N82" s="479"/>
      <c r="O82" s="480"/>
      <c r="P82" s="479"/>
      <c r="Q82" s="480"/>
      <c r="R82" s="479"/>
      <c r="S82" s="478"/>
      <c r="T82" s="479"/>
      <c r="U82" s="480"/>
      <c r="V82" s="479"/>
      <c r="W82" s="478"/>
      <c r="X82" s="479"/>
      <c r="Y82" s="480"/>
      <c r="Z82" s="479"/>
      <c r="AA82" s="478"/>
      <c r="AB82" s="479"/>
      <c r="AC82" s="480"/>
      <c r="AD82" s="479"/>
      <c r="AE82" s="478"/>
      <c r="AF82" s="479"/>
      <c r="AG82" s="480"/>
      <c r="AH82" s="479"/>
      <c r="AI82" s="478"/>
      <c r="AJ82" s="479"/>
      <c r="AK82" s="480"/>
      <c r="AL82" s="479"/>
      <c r="AM82" s="478"/>
    </row>
    <row r="83" spans="1:39" ht="12.75" customHeight="1" x14ac:dyDescent="0.25">
      <c r="A83" s="493"/>
      <c r="B83" s="24" t="s">
        <v>80</v>
      </c>
      <c r="C83" s="481"/>
      <c r="D83" s="480"/>
      <c r="E83" s="480"/>
      <c r="F83" s="480"/>
      <c r="G83" s="480"/>
      <c r="H83" s="480"/>
      <c r="I83" s="480"/>
      <c r="J83" s="480"/>
      <c r="K83" s="480"/>
      <c r="L83" s="479"/>
      <c r="M83" s="480"/>
      <c r="N83" s="479"/>
      <c r="O83" s="480"/>
      <c r="P83" s="479"/>
      <c r="Q83" s="480"/>
      <c r="R83" s="479"/>
      <c r="S83" s="478"/>
      <c r="T83" s="479"/>
      <c r="U83" s="480"/>
      <c r="V83" s="479"/>
      <c r="W83" s="478"/>
      <c r="X83" s="479"/>
      <c r="Y83" s="480"/>
      <c r="Z83" s="479"/>
      <c r="AA83" s="478"/>
      <c r="AB83" s="479"/>
      <c r="AC83" s="480"/>
      <c r="AD83" s="479"/>
      <c r="AE83" s="478"/>
      <c r="AF83" s="479"/>
      <c r="AG83" s="480"/>
      <c r="AH83" s="479"/>
      <c r="AI83" s="478"/>
      <c r="AJ83" s="479"/>
      <c r="AK83" s="480"/>
      <c r="AL83" s="479"/>
      <c r="AM83" s="478"/>
    </row>
    <row r="84" spans="1:39" ht="12.75" customHeight="1" x14ac:dyDescent="0.25">
      <c r="A84" s="493"/>
      <c r="B84" s="23" t="s">
        <v>76</v>
      </c>
      <c r="C84" s="481"/>
      <c r="D84" s="479">
        <f>4</f>
        <v>4</v>
      </c>
      <c r="E84" s="480">
        <v>0</v>
      </c>
      <c r="F84" s="479">
        <f>4</f>
        <v>4</v>
      </c>
      <c r="G84" s="480">
        <v>0</v>
      </c>
      <c r="H84" s="480">
        <v>0</v>
      </c>
      <c r="I84" s="480">
        <v>0</v>
      </c>
      <c r="J84" s="480">
        <v>0</v>
      </c>
      <c r="K84" s="480">
        <v>0</v>
      </c>
      <c r="L84" s="479">
        <v>5</v>
      </c>
      <c r="M84" s="480">
        <v>0</v>
      </c>
      <c r="N84" s="479">
        <v>5</v>
      </c>
      <c r="O84" s="480">
        <v>0</v>
      </c>
      <c r="P84" s="479">
        <v>4</v>
      </c>
      <c r="Q84" s="480">
        <v>0</v>
      </c>
      <c r="R84" s="479">
        <v>4</v>
      </c>
      <c r="S84" s="478">
        <v>0</v>
      </c>
      <c r="T84" s="479">
        <v>6</v>
      </c>
      <c r="U84" s="480">
        <v>0</v>
      </c>
      <c r="V84" s="479">
        <v>6</v>
      </c>
      <c r="W84" s="478">
        <v>0</v>
      </c>
      <c r="X84" s="479">
        <v>6</v>
      </c>
      <c r="Y84" s="480">
        <v>0</v>
      </c>
      <c r="Z84" s="479">
        <v>6</v>
      </c>
      <c r="AA84" s="478">
        <v>0</v>
      </c>
      <c r="AB84" s="479">
        <v>6</v>
      </c>
      <c r="AC84" s="480">
        <v>0</v>
      </c>
      <c r="AD84" s="479">
        <v>6</v>
      </c>
      <c r="AE84" s="478">
        <v>0</v>
      </c>
      <c r="AF84" s="479">
        <v>6</v>
      </c>
      <c r="AG84" s="480">
        <v>0</v>
      </c>
      <c r="AH84" s="479">
        <v>6</v>
      </c>
      <c r="AI84" s="478">
        <v>0</v>
      </c>
      <c r="AJ84" s="479">
        <v>8</v>
      </c>
      <c r="AK84" s="480">
        <v>0</v>
      </c>
      <c r="AL84" s="479">
        <v>8</v>
      </c>
      <c r="AM84" s="478">
        <v>0</v>
      </c>
    </row>
    <row r="85" spans="1:39" ht="12.75" customHeight="1" x14ac:dyDescent="0.25">
      <c r="A85" s="493"/>
      <c r="B85" s="23" t="s">
        <v>77</v>
      </c>
      <c r="C85" s="481"/>
      <c r="D85" s="479"/>
      <c r="E85" s="480"/>
      <c r="F85" s="479"/>
      <c r="G85" s="480"/>
      <c r="H85" s="480"/>
      <c r="I85" s="480"/>
      <c r="J85" s="480"/>
      <c r="K85" s="480"/>
      <c r="L85" s="479"/>
      <c r="M85" s="480"/>
      <c r="N85" s="479"/>
      <c r="O85" s="480"/>
      <c r="P85" s="479"/>
      <c r="Q85" s="480"/>
      <c r="R85" s="479"/>
      <c r="S85" s="478"/>
      <c r="T85" s="479"/>
      <c r="U85" s="480"/>
      <c r="V85" s="479"/>
      <c r="W85" s="478"/>
      <c r="X85" s="479"/>
      <c r="Y85" s="480"/>
      <c r="Z85" s="479"/>
      <c r="AA85" s="478"/>
      <c r="AB85" s="479"/>
      <c r="AC85" s="480"/>
      <c r="AD85" s="479"/>
      <c r="AE85" s="478"/>
      <c r="AF85" s="479"/>
      <c r="AG85" s="480"/>
      <c r="AH85" s="479"/>
      <c r="AI85" s="478"/>
      <c r="AJ85" s="479"/>
      <c r="AK85" s="480"/>
      <c r="AL85" s="479"/>
      <c r="AM85" s="478"/>
    </row>
    <row r="86" spans="1:39" ht="12.75" customHeight="1" x14ac:dyDescent="0.25">
      <c r="A86" s="483"/>
      <c r="B86" s="14" t="s">
        <v>78</v>
      </c>
      <c r="C86" s="481"/>
      <c r="D86" s="260">
        <v>3</v>
      </c>
      <c r="E86" s="255">
        <v>0</v>
      </c>
      <c r="F86" s="260">
        <v>3</v>
      </c>
      <c r="G86" s="255">
        <v>0</v>
      </c>
      <c r="H86" s="255">
        <v>0</v>
      </c>
      <c r="I86" s="255">
        <v>0</v>
      </c>
      <c r="J86" s="255">
        <v>0</v>
      </c>
      <c r="K86" s="255">
        <v>0</v>
      </c>
      <c r="L86" s="260">
        <f>D86</f>
        <v>3</v>
      </c>
      <c r="M86" s="255">
        <v>0</v>
      </c>
      <c r="N86" s="260">
        <v>0</v>
      </c>
      <c r="O86" s="255">
        <v>0</v>
      </c>
      <c r="P86" s="314">
        <v>3</v>
      </c>
      <c r="Q86" s="308">
        <v>0</v>
      </c>
      <c r="R86" s="314">
        <v>0</v>
      </c>
      <c r="S86" s="306">
        <v>0</v>
      </c>
      <c r="T86" s="314">
        <v>3</v>
      </c>
      <c r="U86" s="308">
        <v>0</v>
      </c>
      <c r="V86" s="314">
        <v>0</v>
      </c>
      <c r="W86" s="306">
        <v>0</v>
      </c>
      <c r="X86" s="314">
        <v>3</v>
      </c>
      <c r="Y86" s="308">
        <v>0</v>
      </c>
      <c r="Z86" s="314">
        <v>0</v>
      </c>
      <c r="AA86" s="306">
        <v>0</v>
      </c>
      <c r="AB86" s="260">
        <v>3</v>
      </c>
      <c r="AC86" s="255">
        <v>0</v>
      </c>
      <c r="AD86" s="260">
        <v>0</v>
      </c>
      <c r="AE86" s="257">
        <v>0</v>
      </c>
      <c r="AF86" s="260">
        <v>3</v>
      </c>
      <c r="AG86" s="255">
        <v>0</v>
      </c>
      <c r="AH86" s="260">
        <v>0</v>
      </c>
      <c r="AI86" s="257">
        <v>0</v>
      </c>
      <c r="AJ86" s="260">
        <v>3</v>
      </c>
      <c r="AK86" s="255">
        <v>0</v>
      </c>
      <c r="AL86" s="260">
        <v>0</v>
      </c>
      <c r="AM86" s="257">
        <v>0</v>
      </c>
    </row>
    <row r="87" spans="1:39" ht="14.25" customHeight="1" x14ac:dyDescent="0.25">
      <c r="A87" s="482">
        <v>8</v>
      </c>
      <c r="B87" s="12" t="s">
        <v>81</v>
      </c>
      <c r="C87" s="481" t="s">
        <v>11</v>
      </c>
      <c r="D87" s="495">
        <v>8042</v>
      </c>
      <c r="E87" s="484">
        <v>0</v>
      </c>
      <c r="F87" s="495">
        <v>8042</v>
      </c>
      <c r="G87" s="484">
        <v>0</v>
      </c>
      <c r="H87" s="484">
        <v>0</v>
      </c>
      <c r="I87" s="484">
        <v>0</v>
      </c>
      <c r="J87" s="484">
        <v>0</v>
      </c>
      <c r="K87" s="484">
        <v>0</v>
      </c>
      <c r="L87" s="495">
        <f>L93+L102+L104</f>
        <v>12685</v>
      </c>
      <c r="M87" s="484">
        <v>0</v>
      </c>
      <c r="N87" s="495">
        <f>N93+N102</f>
        <v>8955</v>
      </c>
      <c r="O87" s="484">
        <v>0</v>
      </c>
      <c r="P87" s="495">
        <f>P93+P102+P104</f>
        <v>16294</v>
      </c>
      <c r="Q87" s="484">
        <v>0</v>
      </c>
      <c r="R87" s="495">
        <f>R93+R102+R104</f>
        <v>9125</v>
      </c>
      <c r="S87" s="488">
        <v>0</v>
      </c>
      <c r="T87" s="495">
        <f>T93+T102+T104</f>
        <v>32877</v>
      </c>
      <c r="U87" s="484">
        <v>0</v>
      </c>
      <c r="V87" s="495">
        <f>V93+V102</f>
        <v>26035</v>
      </c>
      <c r="W87" s="488">
        <v>0</v>
      </c>
      <c r="X87" s="495">
        <f>X93+X102+X104</f>
        <v>33774</v>
      </c>
      <c r="Y87" s="484">
        <v>0</v>
      </c>
      <c r="Z87" s="495">
        <f>Z93+Z102</f>
        <v>26490</v>
      </c>
      <c r="AA87" s="488">
        <v>0</v>
      </c>
      <c r="AB87" s="495">
        <f>AB93+AB102+AB104</f>
        <v>33047</v>
      </c>
      <c r="AC87" s="484">
        <v>0</v>
      </c>
      <c r="AD87" s="495">
        <f>AD93+AD102</f>
        <v>25275</v>
      </c>
      <c r="AE87" s="488">
        <v>0</v>
      </c>
      <c r="AF87" s="495">
        <f>AF93+AF102+AF104</f>
        <v>16991</v>
      </c>
      <c r="AG87" s="484">
        <v>0</v>
      </c>
      <c r="AH87" s="495">
        <f>AH93+AH102</f>
        <v>8758</v>
      </c>
      <c r="AI87" s="488">
        <v>0</v>
      </c>
      <c r="AJ87" s="495">
        <f>AJ93+AJ102+AJ104</f>
        <v>37756</v>
      </c>
      <c r="AK87" s="484">
        <v>0</v>
      </c>
      <c r="AL87" s="495">
        <f>AL93+AL102</f>
        <v>35196</v>
      </c>
      <c r="AM87" s="488">
        <v>0</v>
      </c>
    </row>
    <row r="88" spans="1:39" ht="11.25" customHeight="1" x14ac:dyDescent="0.25">
      <c r="A88" s="483"/>
      <c r="B88" s="13" t="s">
        <v>82</v>
      </c>
      <c r="C88" s="481"/>
      <c r="D88" s="496"/>
      <c r="E88" s="485"/>
      <c r="F88" s="496"/>
      <c r="G88" s="485"/>
      <c r="H88" s="485"/>
      <c r="I88" s="485"/>
      <c r="J88" s="485"/>
      <c r="K88" s="485"/>
      <c r="L88" s="496"/>
      <c r="M88" s="485"/>
      <c r="N88" s="496"/>
      <c r="O88" s="485"/>
      <c r="P88" s="496"/>
      <c r="Q88" s="485"/>
      <c r="R88" s="496"/>
      <c r="S88" s="489"/>
      <c r="T88" s="496"/>
      <c r="U88" s="485"/>
      <c r="V88" s="496"/>
      <c r="W88" s="489"/>
      <c r="X88" s="496"/>
      <c r="Y88" s="485"/>
      <c r="Z88" s="496"/>
      <c r="AA88" s="489"/>
      <c r="AB88" s="496"/>
      <c r="AC88" s="485"/>
      <c r="AD88" s="496"/>
      <c r="AE88" s="489"/>
      <c r="AF88" s="496"/>
      <c r="AG88" s="485"/>
      <c r="AH88" s="496"/>
      <c r="AI88" s="489"/>
      <c r="AJ88" s="496"/>
      <c r="AK88" s="485"/>
      <c r="AL88" s="496"/>
      <c r="AM88" s="489"/>
    </row>
    <row r="89" spans="1:39" s="17" customFormat="1" ht="11.25" customHeight="1" x14ac:dyDescent="0.25">
      <c r="A89" s="15"/>
      <c r="B89" s="19" t="s">
        <v>34</v>
      </c>
      <c r="C89" s="265"/>
      <c r="D89" s="265"/>
      <c r="E89" s="265"/>
      <c r="F89" s="265"/>
      <c r="G89" s="265"/>
      <c r="H89" s="265"/>
      <c r="I89" s="265"/>
      <c r="J89" s="265"/>
      <c r="K89" s="265"/>
      <c r="L89" s="249"/>
      <c r="M89" s="265"/>
      <c r="N89" s="249"/>
      <c r="O89" s="265"/>
      <c r="P89" s="312"/>
      <c r="Q89" s="311"/>
      <c r="R89" s="312"/>
      <c r="S89" s="310"/>
      <c r="T89" s="312"/>
      <c r="U89" s="311"/>
      <c r="V89" s="312"/>
      <c r="W89" s="310"/>
      <c r="X89" s="312"/>
      <c r="Y89" s="311"/>
      <c r="Z89" s="312"/>
      <c r="AA89" s="310"/>
      <c r="AB89" s="261"/>
      <c r="AC89" s="265"/>
      <c r="AD89" s="261"/>
      <c r="AE89" s="249"/>
      <c r="AF89" s="261"/>
      <c r="AG89" s="265"/>
      <c r="AH89" s="261"/>
      <c r="AI89" s="249"/>
      <c r="AJ89" s="261"/>
      <c r="AK89" s="265"/>
      <c r="AL89" s="261"/>
      <c r="AM89" s="249"/>
    </row>
    <row r="90" spans="1:39" ht="30" customHeight="1" x14ac:dyDescent="0.25">
      <c r="A90" s="482" t="s">
        <v>83</v>
      </c>
      <c r="B90" s="25" t="s">
        <v>84</v>
      </c>
      <c r="C90" s="484" t="s">
        <v>11</v>
      </c>
      <c r="D90" s="254"/>
      <c r="E90" s="254"/>
      <c r="F90" s="254"/>
      <c r="G90" s="254"/>
      <c r="H90" s="254"/>
      <c r="I90" s="254"/>
      <c r="J90" s="254"/>
      <c r="K90" s="254"/>
      <c r="L90" s="254"/>
      <c r="M90" s="254"/>
      <c r="N90" s="254"/>
      <c r="O90" s="254"/>
      <c r="P90" s="313"/>
      <c r="Q90" s="307"/>
      <c r="R90" s="313"/>
      <c r="S90" s="305"/>
      <c r="T90" s="313"/>
      <c r="U90" s="307"/>
      <c r="V90" s="313"/>
      <c r="W90" s="305"/>
      <c r="X90" s="313"/>
      <c r="Y90" s="307"/>
      <c r="Z90" s="313"/>
      <c r="AA90" s="305"/>
      <c r="AB90" s="259"/>
      <c r="AC90" s="254"/>
      <c r="AD90" s="259"/>
      <c r="AE90" s="258"/>
      <c r="AF90" s="259"/>
      <c r="AG90" s="254"/>
      <c r="AH90" s="259"/>
      <c r="AI90" s="258"/>
      <c r="AJ90" s="259"/>
      <c r="AK90" s="254"/>
      <c r="AL90" s="259"/>
      <c r="AM90" s="258"/>
    </row>
    <row r="91" spans="1:39" s="17" customFormat="1" ht="12.75" customHeight="1" x14ac:dyDescent="0.25">
      <c r="A91" s="493"/>
      <c r="B91" s="23" t="s">
        <v>59</v>
      </c>
      <c r="C91" s="480"/>
      <c r="D91" s="250">
        <v>0</v>
      </c>
      <c r="E91" s="250">
        <v>0</v>
      </c>
      <c r="F91" s="250">
        <v>0</v>
      </c>
      <c r="G91" s="250">
        <v>0</v>
      </c>
      <c r="H91" s="250">
        <v>0</v>
      </c>
      <c r="I91" s="250">
        <v>0</v>
      </c>
      <c r="J91" s="250">
        <v>0</v>
      </c>
      <c r="K91" s="250">
        <v>0</v>
      </c>
      <c r="L91" s="250">
        <v>0</v>
      </c>
      <c r="M91" s="250">
        <v>0</v>
      </c>
      <c r="N91" s="250">
        <v>0</v>
      </c>
      <c r="O91" s="250">
        <v>0</v>
      </c>
      <c r="P91" s="315">
        <v>0</v>
      </c>
      <c r="Q91" s="315">
        <v>0</v>
      </c>
      <c r="R91" s="315">
        <v>0</v>
      </c>
      <c r="S91" s="316">
        <v>0</v>
      </c>
      <c r="T91" s="315">
        <v>0</v>
      </c>
      <c r="U91" s="315">
        <v>0</v>
      </c>
      <c r="V91" s="315">
        <v>0</v>
      </c>
      <c r="W91" s="316">
        <v>0</v>
      </c>
      <c r="X91" s="315">
        <v>0</v>
      </c>
      <c r="Y91" s="315">
        <v>0</v>
      </c>
      <c r="Z91" s="315">
        <v>0</v>
      </c>
      <c r="AA91" s="316">
        <v>0</v>
      </c>
      <c r="AB91" s="250">
        <v>0</v>
      </c>
      <c r="AC91" s="250">
        <v>0</v>
      </c>
      <c r="AD91" s="250">
        <v>0</v>
      </c>
      <c r="AE91" s="252">
        <v>0</v>
      </c>
      <c r="AF91" s="250">
        <v>0</v>
      </c>
      <c r="AG91" s="250">
        <v>0</v>
      </c>
      <c r="AH91" s="250">
        <v>0</v>
      </c>
      <c r="AI91" s="252">
        <v>0</v>
      </c>
      <c r="AJ91" s="250">
        <v>0</v>
      </c>
      <c r="AK91" s="250">
        <v>0</v>
      </c>
      <c r="AL91" s="250">
        <v>0</v>
      </c>
      <c r="AM91" s="252">
        <v>0</v>
      </c>
    </row>
    <row r="92" spans="1:39" s="17" customFormat="1" ht="12.75" customHeight="1" x14ac:dyDescent="0.25">
      <c r="A92" s="493"/>
      <c r="B92" s="23" t="s">
        <v>60</v>
      </c>
      <c r="C92" s="480"/>
      <c r="D92" s="250">
        <v>0</v>
      </c>
      <c r="E92" s="250">
        <v>0</v>
      </c>
      <c r="F92" s="250">
        <v>0</v>
      </c>
      <c r="G92" s="250">
        <v>0</v>
      </c>
      <c r="H92" s="250">
        <v>0</v>
      </c>
      <c r="I92" s="250">
        <v>0</v>
      </c>
      <c r="J92" s="250">
        <v>0</v>
      </c>
      <c r="K92" s="250">
        <v>0</v>
      </c>
      <c r="L92" s="250">
        <v>0</v>
      </c>
      <c r="M92" s="250">
        <v>0</v>
      </c>
      <c r="N92" s="250">
        <v>0</v>
      </c>
      <c r="O92" s="250">
        <v>0</v>
      </c>
      <c r="P92" s="315">
        <v>0</v>
      </c>
      <c r="Q92" s="315">
        <v>0</v>
      </c>
      <c r="R92" s="315">
        <v>0</v>
      </c>
      <c r="S92" s="316">
        <v>0</v>
      </c>
      <c r="T92" s="315">
        <v>0</v>
      </c>
      <c r="U92" s="315">
        <v>0</v>
      </c>
      <c r="V92" s="315">
        <v>0</v>
      </c>
      <c r="W92" s="316">
        <v>0</v>
      </c>
      <c r="X92" s="315">
        <v>0</v>
      </c>
      <c r="Y92" s="315">
        <v>0</v>
      </c>
      <c r="Z92" s="315">
        <v>0</v>
      </c>
      <c r="AA92" s="316">
        <v>0</v>
      </c>
      <c r="AB92" s="250">
        <v>0</v>
      </c>
      <c r="AC92" s="250">
        <v>0</v>
      </c>
      <c r="AD92" s="250">
        <v>0</v>
      </c>
      <c r="AE92" s="252">
        <v>0</v>
      </c>
      <c r="AF92" s="250">
        <v>0</v>
      </c>
      <c r="AG92" s="250">
        <v>0</v>
      </c>
      <c r="AH92" s="250">
        <v>0</v>
      </c>
      <c r="AI92" s="252">
        <v>0</v>
      </c>
      <c r="AJ92" s="250">
        <v>0</v>
      </c>
      <c r="AK92" s="250">
        <v>0</v>
      </c>
      <c r="AL92" s="250">
        <v>0</v>
      </c>
      <c r="AM92" s="252">
        <v>0</v>
      </c>
    </row>
    <row r="93" spans="1:39" ht="12.75" customHeight="1" x14ac:dyDescent="0.25">
      <c r="A93" s="493"/>
      <c r="B93" s="23" t="s">
        <v>61</v>
      </c>
      <c r="C93" s="480"/>
      <c r="D93" s="479">
        <f>F93</f>
        <v>6177</v>
      </c>
      <c r="E93" s="480">
        <v>0</v>
      </c>
      <c r="F93" s="479">
        <f>6176668.11/1000</f>
        <v>6177</v>
      </c>
      <c r="G93" s="480">
        <v>0</v>
      </c>
      <c r="H93" s="480">
        <v>0</v>
      </c>
      <c r="I93" s="480">
        <v>0</v>
      </c>
      <c r="J93" s="480">
        <v>0</v>
      </c>
      <c r="K93" s="480">
        <v>0</v>
      </c>
      <c r="L93" s="479">
        <f>'[1]Бизнес-план на 2018'!N7/1000</f>
        <v>10124</v>
      </c>
      <c r="M93" s="480">
        <v>0</v>
      </c>
      <c r="N93" s="479">
        <f>'[1]Бизнес-план на 2018'!C7/1000</f>
        <v>7208</v>
      </c>
      <c r="O93" s="480">
        <v>0</v>
      </c>
      <c r="P93" s="479">
        <f>'Бизнес-план 18 190117'!K7/1000</f>
        <v>11258</v>
      </c>
      <c r="Q93" s="480">
        <v>0</v>
      </c>
      <c r="R93" s="479">
        <f>'Бизнес-план 18 190117'!C7/1000</f>
        <v>6551</v>
      </c>
      <c r="S93" s="478">
        <v>0</v>
      </c>
      <c r="T93" s="479">
        <f>'Бизнес-план 19 190117'!N7/1000</f>
        <v>23499</v>
      </c>
      <c r="U93" s="480">
        <v>0</v>
      </c>
      <c r="V93" s="479">
        <f>'Бизнес-план 19 190117'!D7/1000</f>
        <v>18674</v>
      </c>
      <c r="W93" s="478">
        <v>0</v>
      </c>
      <c r="X93" s="479">
        <f>'Бизнес-план 20 190117'!L7/1000</f>
        <v>23927</v>
      </c>
      <c r="Y93" s="480">
        <v>0</v>
      </c>
      <c r="Z93" s="479">
        <f>'Бизнес-план 20 190117'!C7/1000</f>
        <v>18835</v>
      </c>
      <c r="AA93" s="478">
        <v>0</v>
      </c>
      <c r="AB93" s="479">
        <f>'Бизнес-план 21 190117'!I7/1000</f>
        <v>23394</v>
      </c>
      <c r="AC93" s="480">
        <v>0</v>
      </c>
      <c r="AD93" s="479">
        <f>'Бизнес-план 21 190117'!C7/1000</f>
        <v>18018</v>
      </c>
      <c r="AE93" s="478">
        <v>0</v>
      </c>
      <c r="AF93" s="479">
        <f>'Бизнес-план 22 190117'!H7/1000</f>
        <v>11897</v>
      </c>
      <c r="AG93" s="480">
        <v>0</v>
      </c>
      <c r="AH93" s="479">
        <f>'Бизнес-план 22 190117'!C7/1000</f>
        <v>6223</v>
      </c>
      <c r="AI93" s="478">
        <v>0</v>
      </c>
      <c r="AJ93" s="479">
        <f>'[1]Бизнес-план на 2019'!N7/1000</f>
        <v>29277</v>
      </c>
      <c r="AK93" s="480">
        <v>0</v>
      </c>
      <c r="AL93" s="479">
        <f>'[1]Бизнес-план на 2019'!C7/1000</f>
        <v>27375</v>
      </c>
      <c r="AM93" s="478">
        <v>0</v>
      </c>
    </row>
    <row r="94" spans="1:39" ht="12.75" customHeight="1" x14ac:dyDescent="0.25">
      <c r="A94" s="483"/>
      <c r="B94" s="14" t="s">
        <v>62</v>
      </c>
      <c r="C94" s="485"/>
      <c r="D94" s="496"/>
      <c r="E94" s="485"/>
      <c r="F94" s="496"/>
      <c r="G94" s="485"/>
      <c r="H94" s="485"/>
      <c r="I94" s="485"/>
      <c r="J94" s="485"/>
      <c r="K94" s="485"/>
      <c r="L94" s="479"/>
      <c r="M94" s="485"/>
      <c r="N94" s="479"/>
      <c r="O94" s="485"/>
      <c r="P94" s="479"/>
      <c r="Q94" s="485"/>
      <c r="R94" s="479"/>
      <c r="S94" s="489"/>
      <c r="T94" s="479"/>
      <c r="U94" s="485"/>
      <c r="V94" s="479"/>
      <c r="W94" s="489"/>
      <c r="X94" s="479"/>
      <c r="Y94" s="485"/>
      <c r="Z94" s="479"/>
      <c r="AA94" s="489"/>
      <c r="AB94" s="479"/>
      <c r="AC94" s="485"/>
      <c r="AD94" s="479"/>
      <c r="AE94" s="489"/>
      <c r="AF94" s="479"/>
      <c r="AG94" s="485"/>
      <c r="AH94" s="479"/>
      <c r="AI94" s="489"/>
      <c r="AJ94" s="479"/>
      <c r="AK94" s="485"/>
      <c r="AL94" s="479"/>
      <c r="AM94" s="489"/>
    </row>
    <row r="95" spans="1:39" ht="13.5" customHeight="1" x14ac:dyDescent="0.25">
      <c r="A95" s="482" t="s">
        <v>85</v>
      </c>
      <c r="B95" s="12" t="s">
        <v>86</v>
      </c>
      <c r="C95" s="484" t="s">
        <v>11</v>
      </c>
      <c r="D95" s="484"/>
      <c r="E95" s="484"/>
      <c r="F95" s="484"/>
      <c r="G95" s="484"/>
      <c r="H95" s="484"/>
      <c r="I95" s="484"/>
      <c r="J95" s="484"/>
      <c r="K95" s="484"/>
      <c r="L95" s="495"/>
      <c r="M95" s="484"/>
      <c r="N95" s="495"/>
      <c r="O95" s="484"/>
      <c r="P95" s="495"/>
      <c r="Q95" s="484"/>
      <c r="R95" s="495"/>
      <c r="S95" s="488"/>
      <c r="T95" s="495"/>
      <c r="U95" s="484"/>
      <c r="V95" s="495"/>
      <c r="W95" s="488"/>
      <c r="X95" s="495"/>
      <c r="Y95" s="484"/>
      <c r="Z95" s="495"/>
      <c r="AA95" s="488"/>
      <c r="AB95" s="495"/>
      <c r="AC95" s="484"/>
      <c r="AD95" s="495"/>
      <c r="AE95" s="488"/>
      <c r="AF95" s="495"/>
      <c r="AG95" s="484"/>
      <c r="AH95" s="495"/>
      <c r="AI95" s="488"/>
      <c r="AJ95" s="495"/>
      <c r="AK95" s="484"/>
      <c r="AL95" s="495"/>
      <c r="AM95" s="488"/>
    </row>
    <row r="96" spans="1:39" ht="13.5" customHeight="1" x14ac:dyDescent="0.25">
      <c r="A96" s="493"/>
      <c r="B96" s="24" t="s">
        <v>87</v>
      </c>
      <c r="C96" s="480"/>
      <c r="D96" s="480"/>
      <c r="E96" s="480"/>
      <c r="F96" s="480"/>
      <c r="G96" s="480"/>
      <c r="H96" s="480"/>
      <c r="I96" s="480"/>
      <c r="J96" s="480"/>
      <c r="K96" s="480"/>
      <c r="L96" s="479"/>
      <c r="M96" s="480"/>
      <c r="N96" s="479"/>
      <c r="O96" s="480"/>
      <c r="P96" s="479"/>
      <c r="Q96" s="480"/>
      <c r="R96" s="479"/>
      <c r="S96" s="478"/>
      <c r="T96" s="479"/>
      <c r="U96" s="480"/>
      <c r="V96" s="479"/>
      <c r="W96" s="478"/>
      <c r="X96" s="479"/>
      <c r="Y96" s="480"/>
      <c r="Z96" s="479"/>
      <c r="AA96" s="478"/>
      <c r="AB96" s="479"/>
      <c r="AC96" s="480"/>
      <c r="AD96" s="479"/>
      <c r="AE96" s="478"/>
      <c r="AF96" s="479"/>
      <c r="AG96" s="480"/>
      <c r="AH96" s="479"/>
      <c r="AI96" s="478"/>
      <c r="AJ96" s="479"/>
      <c r="AK96" s="480"/>
      <c r="AL96" s="479"/>
      <c r="AM96" s="478"/>
    </row>
    <row r="97" spans="1:39" ht="13.5" customHeight="1" x14ac:dyDescent="0.25">
      <c r="A97" s="493"/>
      <c r="B97" s="23" t="s">
        <v>76</v>
      </c>
      <c r="C97" s="480"/>
      <c r="D97" s="480">
        <v>0</v>
      </c>
      <c r="E97" s="480">
        <v>0</v>
      </c>
      <c r="F97" s="480">
        <v>0</v>
      </c>
      <c r="G97" s="480">
        <v>0</v>
      </c>
      <c r="H97" s="480">
        <v>0</v>
      </c>
      <c r="I97" s="480">
        <v>0</v>
      </c>
      <c r="J97" s="480">
        <v>0</v>
      </c>
      <c r="K97" s="480">
        <v>0</v>
      </c>
      <c r="L97" s="480">
        <v>0</v>
      </c>
      <c r="M97" s="480">
        <v>0</v>
      </c>
      <c r="N97" s="480">
        <v>0</v>
      </c>
      <c r="O97" s="480">
        <v>0</v>
      </c>
      <c r="P97" s="480">
        <v>0</v>
      </c>
      <c r="Q97" s="480">
        <v>0</v>
      </c>
      <c r="R97" s="480">
        <v>0</v>
      </c>
      <c r="S97" s="478">
        <v>0</v>
      </c>
      <c r="T97" s="480">
        <v>0</v>
      </c>
      <c r="U97" s="480">
        <v>0</v>
      </c>
      <c r="V97" s="480">
        <v>0</v>
      </c>
      <c r="W97" s="478">
        <v>0</v>
      </c>
      <c r="X97" s="480">
        <v>0</v>
      </c>
      <c r="Y97" s="480">
        <v>0</v>
      </c>
      <c r="Z97" s="480">
        <v>0</v>
      </c>
      <c r="AA97" s="478">
        <v>0</v>
      </c>
      <c r="AB97" s="480">
        <v>0</v>
      </c>
      <c r="AC97" s="480">
        <v>0</v>
      </c>
      <c r="AD97" s="480">
        <v>0</v>
      </c>
      <c r="AE97" s="478">
        <v>0</v>
      </c>
      <c r="AF97" s="480">
        <v>0</v>
      </c>
      <c r="AG97" s="480">
        <v>0</v>
      </c>
      <c r="AH97" s="480">
        <v>0</v>
      </c>
      <c r="AI97" s="478">
        <v>0</v>
      </c>
      <c r="AJ97" s="480">
        <v>0</v>
      </c>
      <c r="AK97" s="480">
        <v>0</v>
      </c>
      <c r="AL97" s="480">
        <v>0</v>
      </c>
      <c r="AM97" s="478">
        <v>0</v>
      </c>
    </row>
    <row r="98" spans="1:39" ht="13.5" customHeight="1" x14ac:dyDescent="0.25">
      <c r="A98" s="493"/>
      <c r="B98" s="23" t="s">
        <v>77</v>
      </c>
      <c r="C98" s="480"/>
      <c r="D98" s="480"/>
      <c r="E98" s="480"/>
      <c r="F98" s="480"/>
      <c r="G98" s="480"/>
      <c r="H98" s="480"/>
      <c r="I98" s="480"/>
      <c r="J98" s="480"/>
      <c r="K98" s="480"/>
      <c r="L98" s="480"/>
      <c r="M98" s="480"/>
      <c r="N98" s="480"/>
      <c r="O98" s="480"/>
      <c r="P98" s="480"/>
      <c r="Q98" s="480"/>
      <c r="R98" s="480"/>
      <c r="S98" s="478"/>
      <c r="T98" s="480"/>
      <c r="U98" s="480"/>
      <c r="V98" s="480"/>
      <c r="W98" s="478"/>
      <c r="X98" s="480"/>
      <c r="Y98" s="480"/>
      <c r="Z98" s="480"/>
      <c r="AA98" s="478"/>
      <c r="AB98" s="480"/>
      <c r="AC98" s="480"/>
      <c r="AD98" s="480"/>
      <c r="AE98" s="478"/>
      <c r="AF98" s="480"/>
      <c r="AG98" s="480"/>
      <c r="AH98" s="480"/>
      <c r="AI98" s="478"/>
      <c r="AJ98" s="480"/>
      <c r="AK98" s="480"/>
      <c r="AL98" s="480"/>
      <c r="AM98" s="478"/>
    </row>
    <row r="99" spans="1:39" ht="13.5" customHeight="1" x14ac:dyDescent="0.25">
      <c r="A99" s="483"/>
      <c r="B99" s="14" t="s">
        <v>78</v>
      </c>
      <c r="C99" s="485"/>
      <c r="D99" s="255">
        <v>0</v>
      </c>
      <c r="E99" s="255">
        <v>0</v>
      </c>
      <c r="F99" s="255">
        <v>0</v>
      </c>
      <c r="G99" s="255">
        <v>0</v>
      </c>
      <c r="H99" s="255">
        <v>0</v>
      </c>
      <c r="I99" s="255">
        <v>0</v>
      </c>
      <c r="J99" s="255">
        <v>0</v>
      </c>
      <c r="K99" s="255">
        <v>0</v>
      </c>
      <c r="L99" s="255">
        <v>0</v>
      </c>
      <c r="M99" s="255">
        <v>0</v>
      </c>
      <c r="N99" s="255">
        <v>0</v>
      </c>
      <c r="O99" s="255">
        <v>0</v>
      </c>
      <c r="P99" s="308">
        <v>0</v>
      </c>
      <c r="Q99" s="308">
        <v>0</v>
      </c>
      <c r="R99" s="308">
        <v>0</v>
      </c>
      <c r="S99" s="306">
        <v>0</v>
      </c>
      <c r="T99" s="308">
        <v>0</v>
      </c>
      <c r="U99" s="308">
        <v>0</v>
      </c>
      <c r="V99" s="308">
        <v>0</v>
      </c>
      <c r="W99" s="306">
        <v>0</v>
      </c>
      <c r="X99" s="308">
        <v>0</v>
      </c>
      <c r="Y99" s="308">
        <v>0</v>
      </c>
      <c r="Z99" s="308">
        <v>0</v>
      </c>
      <c r="AA99" s="306">
        <v>0</v>
      </c>
      <c r="AB99" s="255">
        <v>0</v>
      </c>
      <c r="AC99" s="255">
        <v>0</v>
      </c>
      <c r="AD99" s="255">
        <v>0</v>
      </c>
      <c r="AE99" s="257">
        <v>0</v>
      </c>
      <c r="AF99" s="255">
        <v>0</v>
      </c>
      <c r="AG99" s="255">
        <v>0</v>
      </c>
      <c r="AH99" s="255">
        <v>0</v>
      </c>
      <c r="AI99" s="257">
        <v>0</v>
      </c>
      <c r="AJ99" s="255">
        <v>0</v>
      </c>
      <c r="AK99" s="255">
        <v>0</v>
      </c>
      <c r="AL99" s="255">
        <v>0</v>
      </c>
      <c r="AM99" s="257">
        <v>0</v>
      </c>
    </row>
    <row r="100" spans="1:39" ht="13.5" customHeight="1" x14ac:dyDescent="0.25">
      <c r="A100" s="482" t="s">
        <v>88</v>
      </c>
      <c r="B100" s="12" t="s">
        <v>86</v>
      </c>
      <c r="C100" s="484" t="s">
        <v>11</v>
      </c>
      <c r="D100" s="484"/>
      <c r="E100" s="484"/>
      <c r="F100" s="484"/>
      <c r="G100" s="484"/>
      <c r="H100" s="484"/>
      <c r="I100" s="484"/>
      <c r="J100" s="484"/>
      <c r="K100" s="484"/>
      <c r="L100" s="495"/>
      <c r="M100" s="484"/>
      <c r="N100" s="495"/>
      <c r="O100" s="484"/>
      <c r="P100" s="495"/>
      <c r="Q100" s="484"/>
      <c r="R100" s="495"/>
      <c r="S100" s="488"/>
      <c r="T100" s="495"/>
      <c r="U100" s="484"/>
      <c r="V100" s="495"/>
      <c r="W100" s="488"/>
      <c r="X100" s="495"/>
      <c r="Y100" s="484"/>
      <c r="Z100" s="495"/>
      <c r="AA100" s="488"/>
      <c r="AB100" s="495"/>
      <c r="AC100" s="484"/>
      <c r="AD100" s="495"/>
      <c r="AE100" s="488"/>
      <c r="AF100" s="495"/>
      <c r="AG100" s="484"/>
      <c r="AH100" s="495"/>
      <c r="AI100" s="488"/>
      <c r="AJ100" s="495"/>
      <c r="AK100" s="484"/>
      <c r="AL100" s="495"/>
      <c r="AM100" s="488"/>
    </row>
    <row r="101" spans="1:39" ht="13.5" customHeight="1" x14ac:dyDescent="0.25">
      <c r="A101" s="493"/>
      <c r="B101" s="24" t="s">
        <v>89</v>
      </c>
      <c r="C101" s="480"/>
      <c r="D101" s="480"/>
      <c r="E101" s="480"/>
      <c r="F101" s="480"/>
      <c r="G101" s="480"/>
      <c r="H101" s="480"/>
      <c r="I101" s="480"/>
      <c r="J101" s="480"/>
      <c r="K101" s="480"/>
      <c r="L101" s="479"/>
      <c r="M101" s="480"/>
      <c r="N101" s="479"/>
      <c r="O101" s="480"/>
      <c r="P101" s="479"/>
      <c r="Q101" s="480"/>
      <c r="R101" s="479"/>
      <c r="S101" s="478"/>
      <c r="T101" s="479"/>
      <c r="U101" s="480"/>
      <c r="V101" s="479"/>
      <c r="W101" s="478"/>
      <c r="X101" s="479"/>
      <c r="Y101" s="480"/>
      <c r="Z101" s="479"/>
      <c r="AA101" s="478"/>
      <c r="AB101" s="479"/>
      <c r="AC101" s="480"/>
      <c r="AD101" s="479"/>
      <c r="AE101" s="478"/>
      <c r="AF101" s="479"/>
      <c r="AG101" s="480"/>
      <c r="AH101" s="479"/>
      <c r="AI101" s="478"/>
      <c r="AJ101" s="479"/>
      <c r="AK101" s="480"/>
      <c r="AL101" s="479"/>
      <c r="AM101" s="478"/>
    </row>
    <row r="102" spans="1:39" ht="13.5" customHeight="1" x14ac:dyDescent="0.25">
      <c r="A102" s="493"/>
      <c r="B102" s="23" t="s">
        <v>76</v>
      </c>
      <c r="C102" s="480"/>
      <c r="D102" s="479">
        <v>1765</v>
      </c>
      <c r="E102" s="480">
        <v>0</v>
      </c>
      <c r="F102" s="479">
        <v>1765</v>
      </c>
      <c r="G102" s="480">
        <v>0</v>
      </c>
      <c r="H102" s="480">
        <v>0</v>
      </c>
      <c r="I102" s="480">
        <v>0</v>
      </c>
      <c r="J102" s="480">
        <v>0</v>
      </c>
      <c r="K102" s="480">
        <v>0</v>
      </c>
      <c r="L102" s="479">
        <f>F102*1.39</f>
        <v>2453</v>
      </c>
      <c r="M102" s="480">
        <v>0</v>
      </c>
      <c r="N102" s="479">
        <f>L102*0.712</f>
        <v>1747</v>
      </c>
      <c r="O102" s="480">
        <v>0</v>
      </c>
      <c r="P102" s="479">
        <f>'12дОХР'!C13/1000*(1-0.245/1.245)*(1-0.07/1.07)</f>
        <v>4965</v>
      </c>
      <c r="Q102" s="480">
        <v>0</v>
      </c>
      <c r="R102" s="479">
        <f>P102*'12дОХР'!D13/'12дОХР'!C13</f>
        <v>2574</v>
      </c>
      <c r="S102" s="478">
        <v>0</v>
      </c>
      <c r="T102" s="479">
        <f>'12дОХР'!K13/1000*(1-0.245/1.245)*(1-0.07/1.07)</f>
        <v>9262</v>
      </c>
      <c r="U102" s="480">
        <v>0</v>
      </c>
      <c r="V102" s="479">
        <f>T102*'12дОХР'!L13/'12дОХР'!K13</f>
        <v>7361</v>
      </c>
      <c r="W102" s="478">
        <v>0</v>
      </c>
      <c r="X102" s="479">
        <f>T102*1.05</f>
        <v>9725</v>
      </c>
      <c r="Y102" s="480">
        <v>0</v>
      </c>
      <c r="Z102" s="479">
        <f>X102*'12дОХР'!O13/'12дОХР'!N13</f>
        <v>7655</v>
      </c>
      <c r="AA102" s="478">
        <v>0</v>
      </c>
      <c r="AB102" s="479">
        <f>'12дОХР'!Q13/1000*(1-0.245/1.245)*(1-0.07/1.07)</f>
        <v>9525</v>
      </c>
      <c r="AC102" s="480">
        <v>0</v>
      </c>
      <c r="AD102" s="479">
        <f>AB102*'12дОХР'!R13/'12дОХР'!Q13</f>
        <v>7257</v>
      </c>
      <c r="AE102" s="478">
        <v>0</v>
      </c>
      <c r="AF102" s="479">
        <f>'12дОХР'!T13/1000*(1-0.245/1.245)*(1-0.07/1.07)</f>
        <v>4960</v>
      </c>
      <c r="AG102" s="480">
        <v>0</v>
      </c>
      <c r="AH102" s="479">
        <f>AF102*'12дОХР'!U13/'12дОХР'!T13</f>
        <v>2535</v>
      </c>
      <c r="AI102" s="478">
        <v>0</v>
      </c>
      <c r="AJ102" s="479">
        <f>L102*3.41</f>
        <v>8365</v>
      </c>
      <c r="AK102" s="480">
        <v>0</v>
      </c>
      <c r="AL102" s="479">
        <f>AJ102*0.935</f>
        <v>7821</v>
      </c>
      <c r="AM102" s="478">
        <v>0</v>
      </c>
    </row>
    <row r="103" spans="1:39" ht="13.5" customHeight="1" x14ac:dyDescent="0.25">
      <c r="A103" s="493"/>
      <c r="B103" s="23" t="s">
        <v>77</v>
      </c>
      <c r="C103" s="480"/>
      <c r="D103" s="479"/>
      <c r="E103" s="480"/>
      <c r="F103" s="479"/>
      <c r="G103" s="480"/>
      <c r="H103" s="480"/>
      <c r="I103" s="480"/>
      <c r="J103" s="480"/>
      <c r="K103" s="480"/>
      <c r="L103" s="479"/>
      <c r="M103" s="480"/>
      <c r="N103" s="479"/>
      <c r="O103" s="480"/>
      <c r="P103" s="479"/>
      <c r="Q103" s="480"/>
      <c r="R103" s="479"/>
      <c r="S103" s="478"/>
      <c r="T103" s="479"/>
      <c r="U103" s="480"/>
      <c r="V103" s="479"/>
      <c r="W103" s="478"/>
      <c r="X103" s="479"/>
      <c r="Y103" s="480"/>
      <c r="Z103" s="479"/>
      <c r="AA103" s="478"/>
      <c r="AB103" s="479"/>
      <c r="AC103" s="480"/>
      <c r="AD103" s="479"/>
      <c r="AE103" s="478"/>
      <c r="AF103" s="479"/>
      <c r="AG103" s="480"/>
      <c r="AH103" s="479"/>
      <c r="AI103" s="478"/>
      <c r="AJ103" s="479"/>
      <c r="AK103" s="480"/>
      <c r="AL103" s="479"/>
      <c r="AM103" s="478"/>
    </row>
    <row r="104" spans="1:39" ht="13.5" customHeight="1" x14ac:dyDescent="0.25">
      <c r="A104" s="483"/>
      <c r="B104" s="14" t="s">
        <v>78</v>
      </c>
      <c r="C104" s="485"/>
      <c r="D104" s="260">
        <f>100</f>
        <v>100</v>
      </c>
      <c r="E104" s="255">
        <v>0</v>
      </c>
      <c r="F104" s="260">
        <f>100</f>
        <v>100</v>
      </c>
      <c r="G104" s="255">
        <v>0</v>
      </c>
      <c r="H104" s="255">
        <v>0</v>
      </c>
      <c r="I104" s="255">
        <v>0</v>
      </c>
      <c r="J104" s="255">
        <v>0</v>
      </c>
      <c r="K104" s="255">
        <v>0</v>
      </c>
      <c r="L104" s="260">
        <f>F104*1.0795</f>
        <v>108</v>
      </c>
      <c r="M104" s="255">
        <v>0</v>
      </c>
      <c r="N104" s="260">
        <v>0</v>
      </c>
      <c r="O104" s="255">
        <v>0</v>
      </c>
      <c r="P104" s="314">
        <f>'12дОХР'!C14/1000*(1-0.302/1.302)*(1-0.07/1.07)</f>
        <v>71</v>
      </c>
      <c r="Q104" s="308">
        <v>0</v>
      </c>
      <c r="R104" s="314">
        <v>0</v>
      </c>
      <c r="S104" s="306">
        <v>0</v>
      </c>
      <c r="T104" s="314">
        <f>'12дОХР'!K14/1000*(1-0.302/1.302)*(1-0.07/1.07)</f>
        <v>116</v>
      </c>
      <c r="U104" s="308">
        <v>0</v>
      </c>
      <c r="V104" s="314">
        <v>0</v>
      </c>
      <c r="W104" s="306">
        <v>0</v>
      </c>
      <c r="X104" s="314">
        <f>T104*1.05</f>
        <v>122</v>
      </c>
      <c r="Y104" s="308">
        <v>0</v>
      </c>
      <c r="Z104" s="314">
        <v>0</v>
      </c>
      <c r="AA104" s="306">
        <v>0</v>
      </c>
      <c r="AB104" s="260">
        <f>X104*1.05</f>
        <v>128</v>
      </c>
      <c r="AC104" s="255">
        <v>0</v>
      </c>
      <c r="AD104" s="260">
        <v>0</v>
      </c>
      <c r="AE104" s="257">
        <v>0</v>
      </c>
      <c r="AF104" s="260">
        <f>AB104*1.05</f>
        <v>134</v>
      </c>
      <c r="AG104" s="255">
        <v>0</v>
      </c>
      <c r="AH104" s="260">
        <v>0</v>
      </c>
      <c r="AI104" s="257">
        <v>0</v>
      </c>
      <c r="AJ104" s="260">
        <f>L104*1.0535</f>
        <v>114</v>
      </c>
      <c r="AK104" s="255">
        <v>0</v>
      </c>
      <c r="AL104" s="260">
        <v>0</v>
      </c>
      <c r="AM104" s="257">
        <v>0</v>
      </c>
    </row>
    <row r="105" spans="1:39" ht="15" customHeight="1" x14ac:dyDescent="0.25">
      <c r="A105" s="482">
        <v>9</v>
      </c>
      <c r="B105" s="12" t="s">
        <v>90</v>
      </c>
      <c r="C105" s="504" t="s">
        <v>261</v>
      </c>
      <c r="D105" s="484"/>
      <c r="E105" s="484"/>
      <c r="F105" s="484"/>
      <c r="G105" s="484"/>
      <c r="H105" s="484"/>
      <c r="I105" s="484"/>
      <c r="J105" s="484"/>
      <c r="K105" s="484"/>
      <c r="L105" s="495"/>
      <c r="M105" s="484"/>
      <c r="N105" s="495"/>
      <c r="O105" s="484"/>
      <c r="P105" s="495"/>
      <c r="Q105" s="484"/>
      <c r="R105" s="502"/>
      <c r="S105" s="488"/>
      <c r="T105" s="495"/>
      <c r="U105" s="484"/>
      <c r="V105" s="502"/>
      <c r="W105" s="488"/>
      <c r="X105" s="495"/>
      <c r="Y105" s="484"/>
      <c r="Z105" s="502"/>
      <c r="AA105" s="488"/>
      <c r="AB105" s="495"/>
      <c r="AC105" s="484"/>
      <c r="AD105" s="502"/>
      <c r="AE105" s="488"/>
      <c r="AF105" s="495"/>
      <c r="AG105" s="484"/>
      <c r="AH105" s="502"/>
      <c r="AI105" s="488"/>
      <c r="AJ105" s="495"/>
      <c r="AK105" s="484"/>
      <c r="AL105" s="495"/>
      <c r="AM105" s="488"/>
    </row>
    <row r="106" spans="1:39" ht="29.25" customHeight="1" x14ac:dyDescent="0.25">
      <c r="A106" s="493"/>
      <c r="B106" s="22" t="s">
        <v>91</v>
      </c>
      <c r="C106" s="505"/>
      <c r="D106" s="480"/>
      <c r="E106" s="480"/>
      <c r="F106" s="480"/>
      <c r="G106" s="480"/>
      <c r="H106" s="480"/>
      <c r="I106" s="480"/>
      <c r="J106" s="480"/>
      <c r="K106" s="480"/>
      <c r="L106" s="479"/>
      <c r="M106" s="480"/>
      <c r="N106" s="479"/>
      <c r="O106" s="480"/>
      <c r="P106" s="479"/>
      <c r="Q106" s="480"/>
      <c r="R106" s="503"/>
      <c r="S106" s="478"/>
      <c r="T106" s="479"/>
      <c r="U106" s="480"/>
      <c r="V106" s="503"/>
      <c r="W106" s="478"/>
      <c r="X106" s="479"/>
      <c r="Y106" s="480"/>
      <c r="Z106" s="503"/>
      <c r="AA106" s="478"/>
      <c r="AB106" s="479"/>
      <c r="AC106" s="480"/>
      <c r="AD106" s="503"/>
      <c r="AE106" s="478"/>
      <c r="AF106" s="479"/>
      <c r="AG106" s="480"/>
      <c r="AH106" s="503"/>
      <c r="AI106" s="478"/>
      <c r="AJ106" s="479"/>
      <c r="AK106" s="480"/>
      <c r="AL106" s="479"/>
      <c r="AM106" s="478"/>
    </row>
    <row r="107" spans="1:39" ht="14.25" customHeight="1" x14ac:dyDescent="0.25">
      <c r="A107" s="493"/>
      <c r="B107" s="24" t="s">
        <v>262</v>
      </c>
      <c r="C107" s="505"/>
      <c r="D107" s="480"/>
      <c r="E107" s="480"/>
      <c r="F107" s="480"/>
      <c r="G107" s="480"/>
      <c r="H107" s="480"/>
      <c r="I107" s="480"/>
      <c r="J107" s="480"/>
      <c r="K107" s="480"/>
      <c r="L107" s="479"/>
      <c r="M107" s="480"/>
      <c r="N107" s="479"/>
      <c r="O107" s="480"/>
      <c r="P107" s="479"/>
      <c r="Q107" s="480"/>
      <c r="R107" s="503"/>
      <c r="S107" s="478"/>
      <c r="T107" s="479"/>
      <c r="U107" s="480"/>
      <c r="V107" s="503"/>
      <c r="W107" s="478"/>
      <c r="X107" s="479"/>
      <c r="Y107" s="480"/>
      <c r="Z107" s="503"/>
      <c r="AA107" s="478"/>
      <c r="AB107" s="479"/>
      <c r="AC107" s="480"/>
      <c r="AD107" s="503"/>
      <c r="AE107" s="478"/>
      <c r="AF107" s="479"/>
      <c r="AG107" s="480"/>
      <c r="AH107" s="503"/>
      <c r="AI107" s="478"/>
      <c r="AJ107" s="479"/>
      <c r="AK107" s="480"/>
      <c r="AL107" s="479"/>
      <c r="AM107" s="478"/>
    </row>
    <row r="108" spans="1:39" s="17" customFormat="1" ht="14.25" customHeight="1" x14ac:dyDescent="0.25">
      <c r="A108" s="493"/>
      <c r="B108" s="23" t="s">
        <v>59</v>
      </c>
      <c r="C108" s="505"/>
      <c r="D108" s="250">
        <v>0</v>
      </c>
      <c r="E108" s="250">
        <v>0</v>
      </c>
      <c r="F108" s="250">
        <v>0</v>
      </c>
      <c r="G108" s="250">
        <v>0</v>
      </c>
      <c r="H108" s="250">
        <v>0</v>
      </c>
      <c r="I108" s="250">
        <v>0</v>
      </c>
      <c r="J108" s="250">
        <v>0</v>
      </c>
      <c r="K108" s="250">
        <v>0</v>
      </c>
      <c r="L108" s="250">
        <v>0</v>
      </c>
      <c r="M108" s="250">
        <v>0</v>
      </c>
      <c r="N108" s="250">
        <v>0</v>
      </c>
      <c r="O108" s="250">
        <v>0</v>
      </c>
      <c r="P108" s="315">
        <v>0</v>
      </c>
      <c r="Q108" s="315">
        <v>0</v>
      </c>
      <c r="R108" s="315">
        <v>0</v>
      </c>
      <c r="S108" s="316">
        <v>0</v>
      </c>
      <c r="T108" s="315">
        <v>0</v>
      </c>
      <c r="U108" s="315">
        <v>0</v>
      </c>
      <c r="V108" s="315">
        <v>0</v>
      </c>
      <c r="W108" s="316">
        <v>0</v>
      </c>
      <c r="X108" s="315">
        <v>0</v>
      </c>
      <c r="Y108" s="315">
        <v>0</v>
      </c>
      <c r="Z108" s="315">
        <v>0</v>
      </c>
      <c r="AA108" s="316">
        <v>0</v>
      </c>
      <c r="AB108" s="250">
        <v>0</v>
      </c>
      <c r="AC108" s="250">
        <v>0</v>
      </c>
      <c r="AD108" s="250">
        <v>0</v>
      </c>
      <c r="AE108" s="252">
        <v>0</v>
      </c>
      <c r="AF108" s="250">
        <v>0</v>
      </c>
      <c r="AG108" s="250">
        <v>0</v>
      </c>
      <c r="AH108" s="250">
        <v>0</v>
      </c>
      <c r="AI108" s="252">
        <v>0</v>
      </c>
      <c r="AJ108" s="250">
        <v>0</v>
      </c>
      <c r="AK108" s="250">
        <v>0</v>
      </c>
      <c r="AL108" s="250">
        <v>0</v>
      </c>
      <c r="AM108" s="252">
        <v>0</v>
      </c>
    </row>
    <row r="109" spans="1:39" s="17" customFormat="1" ht="14.25" customHeight="1" x14ac:dyDescent="0.25">
      <c r="A109" s="493"/>
      <c r="B109" s="23" t="s">
        <v>60</v>
      </c>
      <c r="C109" s="505"/>
      <c r="D109" s="250">
        <v>0</v>
      </c>
      <c r="E109" s="250">
        <v>0</v>
      </c>
      <c r="F109" s="250">
        <v>0</v>
      </c>
      <c r="G109" s="250">
        <v>0</v>
      </c>
      <c r="H109" s="250">
        <v>0</v>
      </c>
      <c r="I109" s="250">
        <v>0</v>
      </c>
      <c r="J109" s="250">
        <v>0</v>
      </c>
      <c r="K109" s="250">
        <v>0</v>
      </c>
      <c r="L109" s="250">
        <v>0</v>
      </c>
      <c r="M109" s="250">
        <v>0</v>
      </c>
      <c r="N109" s="250">
        <v>0</v>
      </c>
      <c r="O109" s="250">
        <v>0</v>
      </c>
      <c r="P109" s="315">
        <v>0</v>
      </c>
      <c r="Q109" s="315">
        <v>0</v>
      </c>
      <c r="R109" s="315">
        <v>0</v>
      </c>
      <c r="S109" s="316">
        <v>0</v>
      </c>
      <c r="T109" s="315">
        <v>0</v>
      </c>
      <c r="U109" s="315">
        <v>0</v>
      </c>
      <c r="V109" s="315">
        <v>0</v>
      </c>
      <c r="W109" s="316">
        <v>0</v>
      </c>
      <c r="X109" s="315">
        <v>0</v>
      </c>
      <c r="Y109" s="315">
        <v>0</v>
      </c>
      <c r="Z109" s="315">
        <v>0</v>
      </c>
      <c r="AA109" s="316">
        <v>0</v>
      </c>
      <c r="AB109" s="250">
        <v>0</v>
      </c>
      <c r="AC109" s="250">
        <v>0</v>
      </c>
      <c r="AD109" s="250">
        <v>0</v>
      </c>
      <c r="AE109" s="252">
        <v>0</v>
      </c>
      <c r="AF109" s="250">
        <v>0</v>
      </c>
      <c r="AG109" s="250">
        <v>0</v>
      </c>
      <c r="AH109" s="250">
        <v>0</v>
      </c>
      <c r="AI109" s="252">
        <v>0</v>
      </c>
      <c r="AJ109" s="250">
        <v>0</v>
      </c>
      <c r="AK109" s="250">
        <v>0</v>
      </c>
      <c r="AL109" s="250">
        <v>0</v>
      </c>
      <c r="AM109" s="252">
        <v>0</v>
      </c>
    </row>
    <row r="110" spans="1:39" ht="14.25" customHeight="1" x14ac:dyDescent="0.25">
      <c r="A110" s="493"/>
      <c r="B110" s="23" t="s">
        <v>61</v>
      </c>
      <c r="C110" s="505"/>
      <c r="D110" s="479">
        <f>F110</f>
        <v>104526</v>
      </c>
      <c r="E110" s="480">
        <v>0</v>
      </c>
      <c r="F110" s="479">
        <f>104526.3</f>
        <v>104526</v>
      </c>
      <c r="G110" s="480">
        <v>0</v>
      </c>
      <c r="H110" s="480">
        <v>0</v>
      </c>
      <c r="I110" s="480">
        <v>0</v>
      </c>
      <c r="J110" s="480">
        <v>0</v>
      </c>
      <c r="K110" s="480">
        <v>0</v>
      </c>
      <c r="L110" s="494">
        <f>'[1]Бизнес-план на 2018'!N7/'[1]Бизнес-план на 2018'!N24</f>
        <v>87272</v>
      </c>
      <c r="M110" s="480">
        <v>0</v>
      </c>
      <c r="N110" s="501">
        <f>'[1]Бизнес-план на 2018'!C7/'[1]Бизнес-план на 2018'!C24</f>
        <v>84800</v>
      </c>
      <c r="O110" s="480">
        <v>0</v>
      </c>
      <c r="P110" s="479">
        <f>'Бизнес-план 18 190117'!K7/'Бизнес-план 18 190117'!K25*164</f>
        <v>102583</v>
      </c>
      <c r="Q110" s="480">
        <v>0</v>
      </c>
      <c r="R110" s="479">
        <f>'Бизнес-план 18 190117'!C7/'Бизнес-план 18 190117'!C25*164</f>
        <v>87029</v>
      </c>
      <c r="S110" s="478">
        <v>0</v>
      </c>
      <c r="T110" s="479">
        <f>'Бизнес-план 19 190117'!N7/'Бизнес-план 19 190117'!N25*164</f>
        <v>91571</v>
      </c>
      <c r="U110" s="480">
        <v>0</v>
      </c>
      <c r="V110" s="479">
        <f>'Бизнес-план 19 190117'!D7/'Бизнес-план 19 190117'!D25*164</f>
        <v>91571</v>
      </c>
      <c r="W110" s="478">
        <v>0</v>
      </c>
      <c r="X110" s="479">
        <f>'Бизнес-план 20 190117'!L7/'Бизнес-план 20 190117'!L25*164</f>
        <v>96663</v>
      </c>
      <c r="Y110" s="480">
        <v>0</v>
      </c>
      <c r="Z110" s="479">
        <f>'Бизнес-план 20 190117'!C7/'Бизнес-план 20 190117'!C25*164</f>
        <v>96663</v>
      </c>
      <c r="AA110" s="478">
        <v>0</v>
      </c>
      <c r="AB110" s="479">
        <f>'Бизнес-план 21 190117'!I7/'Бизнес-план 21 190117'!I25*164</f>
        <v>102038</v>
      </c>
      <c r="AC110" s="480">
        <v>0</v>
      </c>
      <c r="AD110" s="479">
        <f>'Бизнес-план 21 190117'!C7/'Бизнес-план 21 190117'!C25*164</f>
        <v>102038</v>
      </c>
      <c r="AE110" s="478">
        <v>0</v>
      </c>
      <c r="AF110" s="479">
        <f>'Бизнес-план 22 190117'!H7/'Бизнес-план 22 190117'!H25*164</f>
        <v>107710</v>
      </c>
      <c r="AG110" s="480">
        <v>0</v>
      </c>
      <c r="AH110" s="479">
        <f>'Бизнес-план 22 190117'!C7/'Бизнес-план 22 190117'!C25*164</f>
        <v>107710</v>
      </c>
      <c r="AI110" s="478">
        <v>0</v>
      </c>
      <c r="AJ110" s="479">
        <f>'[1]Бизнес-план на 2019'!N7/'[1]Бизнес-план на 2019'!N24</f>
        <v>90783</v>
      </c>
      <c r="AK110" s="480">
        <v>0</v>
      </c>
      <c r="AL110" s="479">
        <f>'[1]Бизнес-план на 2019'!C7/'[1]Бизнес-план на 2019'!C24</f>
        <v>89316</v>
      </c>
      <c r="AM110" s="478">
        <v>0</v>
      </c>
    </row>
    <row r="111" spans="1:39" ht="14.25" customHeight="1" x14ac:dyDescent="0.25">
      <c r="A111" s="483"/>
      <c r="B111" s="14" t="s">
        <v>62</v>
      </c>
      <c r="C111" s="506"/>
      <c r="D111" s="496"/>
      <c r="E111" s="485"/>
      <c r="F111" s="496"/>
      <c r="G111" s="485"/>
      <c r="H111" s="485"/>
      <c r="I111" s="485"/>
      <c r="J111" s="485"/>
      <c r="K111" s="485"/>
      <c r="L111" s="500"/>
      <c r="M111" s="485"/>
      <c r="N111" s="498"/>
      <c r="O111" s="485"/>
      <c r="P111" s="496"/>
      <c r="Q111" s="485"/>
      <c r="R111" s="496"/>
      <c r="S111" s="489"/>
      <c r="T111" s="496"/>
      <c r="U111" s="485"/>
      <c r="V111" s="496"/>
      <c r="W111" s="489"/>
      <c r="X111" s="496"/>
      <c r="Y111" s="485"/>
      <c r="Z111" s="496"/>
      <c r="AA111" s="489"/>
      <c r="AB111" s="496"/>
      <c r="AC111" s="485"/>
      <c r="AD111" s="496"/>
      <c r="AE111" s="489"/>
      <c r="AF111" s="496"/>
      <c r="AG111" s="485"/>
      <c r="AH111" s="496"/>
      <c r="AI111" s="489"/>
      <c r="AJ111" s="496"/>
      <c r="AK111" s="485"/>
      <c r="AL111" s="496"/>
      <c r="AM111" s="489"/>
    </row>
    <row r="112" spans="1:39" ht="14.25" customHeight="1" x14ac:dyDescent="0.25">
      <c r="A112" s="482">
        <v>10</v>
      </c>
      <c r="B112" s="12" t="s">
        <v>92</v>
      </c>
      <c r="C112" s="484" t="s">
        <v>11</v>
      </c>
      <c r="D112" s="495">
        <v>887</v>
      </c>
      <c r="E112" s="484">
        <v>0</v>
      </c>
      <c r="F112" s="495">
        <v>887</v>
      </c>
      <c r="G112" s="484">
        <v>0</v>
      </c>
      <c r="H112" s="484">
        <v>0</v>
      </c>
      <c r="I112" s="484">
        <v>0</v>
      </c>
      <c r="J112" s="484">
        <v>0</v>
      </c>
      <c r="K112" s="484">
        <v>0</v>
      </c>
      <c r="L112" s="497">
        <f>L118+L127+L129</f>
        <v>889</v>
      </c>
      <c r="M112" s="484">
        <v>0</v>
      </c>
      <c r="N112" s="499">
        <f>N118+N127+N129</f>
        <v>627</v>
      </c>
      <c r="O112" s="484">
        <v>0</v>
      </c>
      <c r="P112" s="497">
        <f>P118+P127+P129</f>
        <v>1374</v>
      </c>
      <c r="Q112" s="484">
        <v>0</v>
      </c>
      <c r="R112" s="499">
        <f>R118+R127+R129</f>
        <v>610</v>
      </c>
      <c r="S112" s="488">
        <v>0</v>
      </c>
      <c r="T112" s="497">
        <f>T118+T127+T129</f>
        <v>2301</v>
      </c>
      <c r="U112" s="484">
        <v>0</v>
      </c>
      <c r="V112" s="499">
        <f>V118+V127+V129</f>
        <v>1822</v>
      </c>
      <c r="W112" s="488">
        <v>0</v>
      </c>
      <c r="X112" s="497">
        <f>X118+X127+X129</f>
        <v>2365</v>
      </c>
      <c r="Y112" s="484">
        <v>0</v>
      </c>
      <c r="Z112" s="499">
        <f>Z118+Z127+Z129</f>
        <v>1854</v>
      </c>
      <c r="AA112" s="488">
        <v>0</v>
      </c>
      <c r="AB112" s="497">
        <f>AB118+AB127+AB129</f>
        <v>2314</v>
      </c>
      <c r="AC112" s="484">
        <v>0</v>
      </c>
      <c r="AD112" s="499">
        <f>AD118+AD127+AD129</f>
        <v>1769</v>
      </c>
      <c r="AE112" s="488">
        <v>0</v>
      </c>
      <c r="AF112" s="497">
        <f>AF118+AF127+AF129</f>
        <v>1189</v>
      </c>
      <c r="AG112" s="484">
        <v>0</v>
      </c>
      <c r="AH112" s="499">
        <f>AH118+AH127+AH129</f>
        <v>613</v>
      </c>
      <c r="AI112" s="488">
        <v>0</v>
      </c>
      <c r="AJ112" s="497">
        <f>AJ118+AJ127+AJ129</f>
        <v>2643</v>
      </c>
      <c r="AK112" s="484">
        <v>0</v>
      </c>
      <c r="AL112" s="499">
        <f>AL118+AL127+AL129</f>
        <v>2463</v>
      </c>
      <c r="AM112" s="488">
        <v>0</v>
      </c>
    </row>
    <row r="113" spans="1:39" ht="14.25" customHeight="1" x14ac:dyDescent="0.25">
      <c r="A113" s="483"/>
      <c r="B113" s="13" t="s">
        <v>93</v>
      </c>
      <c r="C113" s="485"/>
      <c r="D113" s="479"/>
      <c r="E113" s="485"/>
      <c r="F113" s="479"/>
      <c r="G113" s="485"/>
      <c r="H113" s="485"/>
      <c r="I113" s="485"/>
      <c r="J113" s="485"/>
      <c r="K113" s="485"/>
      <c r="L113" s="498"/>
      <c r="M113" s="485"/>
      <c r="N113" s="500"/>
      <c r="O113" s="485"/>
      <c r="P113" s="498"/>
      <c r="Q113" s="485"/>
      <c r="R113" s="500"/>
      <c r="S113" s="489"/>
      <c r="T113" s="498"/>
      <c r="U113" s="485"/>
      <c r="V113" s="500"/>
      <c r="W113" s="489"/>
      <c r="X113" s="498"/>
      <c r="Y113" s="485"/>
      <c r="Z113" s="500"/>
      <c r="AA113" s="489"/>
      <c r="AB113" s="498"/>
      <c r="AC113" s="485"/>
      <c r="AD113" s="500"/>
      <c r="AE113" s="489"/>
      <c r="AF113" s="498"/>
      <c r="AG113" s="485"/>
      <c r="AH113" s="500"/>
      <c r="AI113" s="489"/>
      <c r="AJ113" s="498"/>
      <c r="AK113" s="485"/>
      <c r="AL113" s="500"/>
      <c r="AM113" s="489"/>
    </row>
    <row r="114" spans="1:39" s="17" customFormat="1" ht="11.25" customHeight="1" x14ac:dyDescent="0.25">
      <c r="A114" s="15"/>
      <c r="B114" s="19" t="s">
        <v>34</v>
      </c>
      <c r="C114" s="265"/>
      <c r="D114" s="265"/>
      <c r="E114" s="265"/>
      <c r="F114" s="265"/>
      <c r="G114" s="265"/>
      <c r="H114" s="265"/>
      <c r="I114" s="265"/>
      <c r="J114" s="265"/>
      <c r="K114" s="265"/>
      <c r="L114" s="261"/>
      <c r="M114" s="265"/>
      <c r="N114" s="261"/>
      <c r="O114" s="265"/>
      <c r="P114" s="312"/>
      <c r="Q114" s="311"/>
      <c r="R114" s="312"/>
      <c r="S114" s="310"/>
      <c r="T114" s="312"/>
      <c r="U114" s="311"/>
      <c r="V114" s="312"/>
      <c r="W114" s="310"/>
      <c r="X114" s="312"/>
      <c r="Y114" s="311"/>
      <c r="Z114" s="312"/>
      <c r="AA114" s="310"/>
      <c r="AB114" s="261"/>
      <c r="AC114" s="265"/>
      <c r="AD114" s="261"/>
      <c r="AE114" s="249"/>
      <c r="AF114" s="261"/>
      <c r="AG114" s="265"/>
      <c r="AH114" s="261"/>
      <c r="AI114" s="249"/>
      <c r="AJ114" s="261"/>
      <c r="AK114" s="265"/>
      <c r="AL114" s="261"/>
      <c r="AM114" s="249"/>
    </row>
    <row r="115" spans="1:39" ht="26.25" customHeight="1" x14ac:dyDescent="0.25">
      <c r="A115" s="482" t="s">
        <v>94</v>
      </c>
      <c r="B115" s="25" t="s">
        <v>84</v>
      </c>
      <c r="C115" s="484" t="s">
        <v>11</v>
      </c>
      <c r="D115" s="254"/>
      <c r="E115" s="254"/>
      <c r="F115" s="254"/>
      <c r="G115" s="254"/>
      <c r="H115" s="254"/>
      <c r="I115" s="254"/>
      <c r="J115" s="254"/>
      <c r="K115" s="254"/>
      <c r="L115" s="259"/>
      <c r="M115" s="254"/>
      <c r="N115" s="259"/>
      <c r="O115" s="254"/>
      <c r="P115" s="313"/>
      <c r="Q115" s="307"/>
      <c r="R115" s="313"/>
      <c r="S115" s="305"/>
      <c r="T115" s="313"/>
      <c r="U115" s="307"/>
      <c r="V115" s="313"/>
      <c r="W115" s="305"/>
      <c r="X115" s="313"/>
      <c r="Y115" s="307"/>
      <c r="Z115" s="313"/>
      <c r="AA115" s="305"/>
      <c r="AB115" s="259"/>
      <c r="AC115" s="254"/>
      <c r="AD115" s="259"/>
      <c r="AE115" s="258"/>
      <c r="AF115" s="259"/>
      <c r="AG115" s="254"/>
      <c r="AH115" s="259"/>
      <c r="AI115" s="258"/>
      <c r="AJ115" s="259"/>
      <c r="AK115" s="254"/>
      <c r="AL115" s="259"/>
      <c r="AM115" s="258"/>
    </row>
    <row r="116" spans="1:39" s="17" customFormat="1" ht="12.75" customHeight="1" x14ac:dyDescent="0.25">
      <c r="A116" s="493"/>
      <c r="B116" s="23" t="s">
        <v>59</v>
      </c>
      <c r="C116" s="480"/>
      <c r="D116" s="250">
        <v>0</v>
      </c>
      <c r="E116" s="250">
        <v>0</v>
      </c>
      <c r="F116" s="250">
        <v>0</v>
      </c>
      <c r="G116" s="250">
        <v>0</v>
      </c>
      <c r="H116" s="250">
        <v>0</v>
      </c>
      <c r="I116" s="250">
        <v>0</v>
      </c>
      <c r="J116" s="250">
        <v>0</v>
      </c>
      <c r="K116" s="250">
        <v>0</v>
      </c>
      <c r="L116" s="250">
        <v>0</v>
      </c>
      <c r="M116" s="250">
        <v>0</v>
      </c>
      <c r="N116" s="250">
        <v>0</v>
      </c>
      <c r="O116" s="250">
        <v>0</v>
      </c>
      <c r="P116" s="317">
        <v>0</v>
      </c>
      <c r="Q116" s="315">
        <v>0</v>
      </c>
      <c r="R116" s="317">
        <v>0</v>
      </c>
      <c r="S116" s="316">
        <v>0</v>
      </c>
      <c r="T116" s="317">
        <v>0</v>
      </c>
      <c r="U116" s="315">
        <v>0</v>
      </c>
      <c r="V116" s="317">
        <v>0</v>
      </c>
      <c r="W116" s="316">
        <v>0</v>
      </c>
      <c r="X116" s="317">
        <v>0</v>
      </c>
      <c r="Y116" s="315">
        <v>0</v>
      </c>
      <c r="Z116" s="317">
        <v>0</v>
      </c>
      <c r="AA116" s="316">
        <v>0</v>
      </c>
      <c r="AB116" s="251">
        <v>0</v>
      </c>
      <c r="AC116" s="250">
        <v>0</v>
      </c>
      <c r="AD116" s="251">
        <v>0</v>
      </c>
      <c r="AE116" s="252">
        <v>0</v>
      </c>
      <c r="AF116" s="251">
        <v>0</v>
      </c>
      <c r="AG116" s="250">
        <v>0</v>
      </c>
      <c r="AH116" s="251">
        <v>0</v>
      </c>
      <c r="AI116" s="252">
        <v>0</v>
      </c>
      <c r="AJ116" s="251">
        <v>0</v>
      </c>
      <c r="AK116" s="250">
        <v>0</v>
      </c>
      <c r="AL116" s="251">
        <v>0</v>
      </c>
      <c r="AM116" s="252">
        <v>0</v>
      </c>
    </row>
    <row r="117" spans="1:39" s="17" customFormat="1" ht="12.75" customHeight="1" x14ac:dyDescent="0.25">
      <c r="A117" s="493"/>
      <c r="B117" s="23" t="s">
        <v>60</v>
      </c>
      <c r="C117" s="480"/>
      <c r="D117" s="250">
        <v>0</v>
      </c>
      <c r="E117" s="250">
        <v>0</v>
      </c>
      <c r="F117" s="250">
        <v>0</v>
      </c>
      <c r="G117" s="250">
        <v>0</v>
      </c>
      <c r="H117" s="250">
        <v>0</v>
      </c>
      <c r="I117" s="250">
        <v>0</v>
      </c>
      <c r="J117" s="250">
        <v>0</v>
      </c>
      <c r="K117" s="250">
        <v>0</v>
      </c>
      <c r="L117" s="250">
        <v>0</v>
      </c>
      <c r="M117" s="250">
        <v>0</v>
      </c>
      <c r="N117" s="250">
        <v>0</v>
      </c>
      <c r="O117" s="250">
        <v>0</v>
      </c>
      <c r="P117" s="317">
        <v>0</v>
      </c>
      <c r="Q117" s="315">
        <v>0</v>
      </c>
      <c r="R117" s="317">
        <v>0</v>
      </c>
      <c r="S117" s="316">
        <v>0</v>
      </c>
      <c r="T117" s="317">
        <v>0</v>
      </c>
      <c r="U117" s="315">
        <v>0</v>
      </c>
      <c r="V117" s="317">
        <v>0</v>
      </c>
      <c r="W117" s="316">
        <v>0</v>
      </c>
      <c r="X117" s="317">
        <v>0</v>
      </c>
      <c r="Y117" s="315">
        <v>0</v>
      </c>
      <c r="Z117" s="317">
        <v>0</v>
      </c>
      <c r="AA117" s="316">
        <v>0</v>
      </c>
      <c r="AB117" s="251">
        <v>0</v>
      </c>
      <c r="AC117" s="250">
        <v>0</v>
      </c>
      <c r="AD117" s="251">
        <v>0</v>
      </c>
      <c r="AE117" s="252">
        <v>0</v>
      </c>
      <c r="AF117" s="251">
        <v>0</v>
      </c>
      <c r="AG117" s="250">
        <v>0</v>
      </c>
      <c r="AH117" s="251">
        <v>0</v>
      </c>
      <c r="AI117" s="252">
        <v>0</v>
      </c>
      <c r="AJ117" s="251">
        <v>0</v>
      </c>
      <c r="AK117" s="250">
        <v>0</v>
      </c>
      <c r="AL117" s="251">
        <v>0</v>
      </c>
      <c r="AM117" s="252">
        <v>0</v>
      </c>
    </row>
    <row r="118" spans="1:39" ht="12.75" customHeight="1" x14ac:dyDescent="0.25">
      <c r="A118" s="493"/>
      <c r="B118" s="23" t="s">
        <v>61</v>
      </c>
      <c r="C118" s="480"/>
      <c r="D118" s="479">
        <f>F118</f>
        <v>637</v>
      </c>
      <c r="E118" s="480">
        <v>0</v>
      </c>
      <c r="F118" s="479">
        <f>636670.49/1000</f>
        <v>637</v>
      </c>
      <c r="G118" s="480">
        <v>0</v>
      </c>
      <c r="H118" s="480">
        <v>0</v>
      </c>
      <c r="I118" s="480">
        <v>0</v>
      </c>
      <c r="J118" s="480">
        <v>0</v>
      </c>
      <c r="K118" s="480">
        <v>0</v>
      </c>
      <c r="L118" s="479">
        <f>'[1]Бизнес-план на 2018'!N8/1000</f>
        <v>709</v>
      </c>
      <c r="M118" s="480">
        <v>0</v>
      </c>
      <c r="N118" s="479">
        <f>'[1]Бизнес-план на 2018'!C8/1000</f>
        <v>505</v>
      </c>
      <c r="O118" s="480">
        <v>0</v>
      </c>
      <c r="P118" s="479">
        <f>'Бизнес-план 18 190117'!K8/1000</f>
        <v>1021</v>
      </c>
      <c r="Q118" s="480">
        <v>0</v>
      </c>
      <c r="R118" s="479">
        <f>'Бизнес-план 18 190117'!C8/1000</f>
        <v>430</v>
      </c>
      <c r="S118" s="478">
        <v>0</v>
      </c>
      <c r="T118" s="479">
        <f>'Бизнес-план 19 190117'!N8/1000</f>
        <v>1645</v>
      </c>
      <c r="U118" s="480">
        <v>0</v>
      </c>
      <c r="V118" s="479">
        <f>'Бизнес-план 19 190117'!D8/1000</f>
        <v>1307</v>
      </c>
      <c r="W118" s="478">
        <v>0</v>
      </c>
      <c r="X118" s="479">
        <f>'Бизнес-план 20 190117'!L8/1000</f>
        <v>1675</v>
      </c>
      <c r="Y118" s="480">
        <v>0</v>
      </c>
      <c r="Z118" s="479">
        <f>'Бизнес-план 20 190117'!C8/1000</f>
        <v>1318</v>
      </c>
      <c r="AA118" s="478">
        <v>0</v>
      </c>
      <c r="AB118" s="479">
        <f>'Бизнес-план 21 190117'!I8/1000</f>
        <v>1638</v>
      </c>
      <c r="AC118" s="480">
        <v>0</v>
      </c>
      <c r="AD118" s="479">
        <f>'Бизнес-план 21 190117'!C8/1000</f>
        <v>1261</v>
      </c>
      <c r="AE118" s="478">
        <v>0</v>
      </c>
      <c r="AF118" s="479">
        <f>'Бизнес-план 22 190117'!H8/1000</f>
        <v>833</v>
      </c>
      <c r="AG118" s="480">
        <v>0</v>
      </c>
      <c r="AH118" s="479">
        <f>'Бизнес-план 22 190117'!C8/1000</f>
        <v>436</v>
      </c>
      <c r="AI118" s="478">
        <v>0</v>
      </c>
      <c r="AJ118" s="479">
        <f>'[1]Бизнес-план на 2019'!N8/1000</f>
        <v>2049</v>
      </c>
      <c r="AK118" s="480">
        <v>0</v>
      </c>
      <c r="AL118" s="479">
        <f>'[1]Бизнес-план на 2019'!C8/1000</f>
        <v>1916</v>
      </c>
      <c r="AM118" s="478">
        <v>0</v>
      </c>
    </row>
    <row r="119" spans="1:39" ht="12.75" customHeight="1" x14ac:dyDescent="0.25">
      <c r="A119" s="483"/>
      <c r="B119" s="14" t="s">
        <v>62</v>
      </c>
      <c r="C119" s="485"/>
      <c r="D119" s="496"/>
      <c r="E119" s="485"/>
      <c r="F119" s="496"/>
      <c r="G119" s="485"/>
      <c r="H119" s="485"/>
      <c r="I119" s="485"/>
      <c r="J119" s="485"/>
      <c r="K119" s="485"/>
      <c r="L119" s="479"/>
      <c r="M119" s="485"/>
      <c r="N119" s="479"/>
      <c r="O119" s="485"/>
      <c r="P119" s="479"/>
      <c r="Q119" s="485"/>
      <c r="R119" s="479"/>
      <c r="S119" s="489"/>
      <c r="T119" s="479"/>
      <c r="U119" s="485"/>
      <c r="V119" s="479"/>
      <c r="W119" s="489"/>
      <c r="X119" s="479"/>
      <c r="Y119" s="485"/>
      <c r="Z119" s="479"/>
      <c r="AA119" s="489"/>
      <c r="AB119" s="479"/>
      <c r="AC119" s="485"/>
      <c r="AD119" s="479"/>
      <c r="AE119" s="489"/>
      <c r="AF119" s="479"/>
      <c r="AG119" s="485"/>
      <c r="AH119" s="479"/>
      <c r="AI119" s="489"/>
      <c r="AJ119" s="479"/>
      <c r="AK119" s="485"/>
      <c r="AL119" s="479"/>
      <c r="AM119" s="489"/>
    </row>
    <row r="120" spans="1:39" ht="13.5" customHeight="1" x14ac:dyDescent="0.25">
      <c r="A120" s="482" t="s">
        <v>95</v>
      </c>
      <c r="B120" s="12" t="s">
        <v>86</v>
      </c>
      <c r="C120" s="484" t="s">
        <v>11</v>
      </c>
      <c r="D120" s="484"/>
      <c r="E120" s="484"/>
      <c r="F120" s="484"/>
      <c r="G120" s="484"/>
      <c r="H120" s="484"/>
      <c r="I120" s="484"/>
      <c r="J120" s="484"/>
      <c r="K120" s="484"/>
      <c r="L120" s="495"/>
      <c r="M120" s="484"/>
      <c r="N120" s="495"/>
      <c r="O120" s="484"/>
      <c r="P120" s="495"/>
      <c r="Q120" s="484"/>
      <c r="R120" s="495"/>
      <c r="S120" s="488"/>
      <c r="T120" s="495"/>
      <c r="U120" s="484"/>
      <c r="V120" s="495"/>
      <c r="W120" s="488"/>
      <c r="X120" s="495"/>
      <c r="Y120" s="484"/>
      <c r="Z120" s="495"/>
      <c r="AA120" s="488"/>
      <c r="AB120" s="495"/>
      <c r="AC120" s="484"/>
      <c r="AD120" s="495"/>
      <c r="AE120" s="488"/>
      <c r="AF120" s="495"/>
      <c r="AG120" s="484"/>
      <c r="AH120" s="495"/>
      <c r="AI120" s="488"/>
      <c r="AJ120" s="495"/>
      <c r="AK120" s="484"/>
      <c r="AL120" s="495"/>
      <c r="AM120" s="488"/>
    </row>
    <row r="121" spans="1:39" ht="13.5" customHeight="1" x14ac:dyDescent="0.25">
      <c r="A121" s="493"/>
      <c r="B121" s="24" t="s">
        <v>87</v>
      </c>
      <c r="C121" s="480"/>
      <c r="D121" s="480"/>
      <c r="E121" s="480"/>
      <c r="F121" s="480"/>
      <c r="G121" s="480"/>
      <c r="H121" s="480"/>
      <c r="I121" s="480"/>
      <c r="J121" s="480"/>
      <c r="K121" s="480"/>
      <c r="L121" s="479"/>
      <c r="M121" s="480"/>
      <c r="N121" s="479"/>
      <c r="O121" s="480"/>
      <c r="P121" s="479"/>
      <c r="Q121" s="480"/>
      <c r="R121" s="479"/>
      <c r="S121" s="478"/>
      <c r="T121" s="479"/>
      <c r="U121" s="480"/>
      <c r="V121" s="479"/>
      <c r="W121" s="478"/>
      <c r="X121" s="479"/>
      <c r="Y121" s="480"/>
      <c r="Z121" s="479"/>
      <c r="AA121" s="478"/>
      <c r="AB121" s="479"/>
      <c r="AC121" s="480"/>
      <c r="AD121" s="479"/>
      <c r="AE121" s="478"/>
      <c r="AF121" s="479"/>
      <c r="AG121" s="480"/>
      <c r="AH121" s="479"/>
      <c r="AI121" s="478"/>
      <c r="AJ121" s="479"/>
      <c r="AK121" s="480"/>
      <c r="AL121" s="479"/>
      <c r="AM121" s="478"/>
    </row>
    <row r="122" spans="1:39" ht="13.5" customHeight="1" x14ac:dyDescent="0.25">
      <c r="A122" s="493"/>
      <c r="B122" s="23" t="s">
        <v>76</v>
      </c>
      <c r="C122" s="480"/>
      <c r="D122" s="480">
        <v>0</v>
      </c>
      <c r="E122" s="480">
        <v>0</v>
      </c>
      <c r="F122" s="480">
        <v>0</v>
      </c>
      <c r="G122" s="480">
        <v>0</v>
      </c>
      <c r="H122" s="480">
        <v>0</v>
      </c>
      <c r="I122" s="480">
        <v>0</v>
      </c>
      <c r="J122" s="480">
        <v>0</v>
      </c>
      <c r="K122" s="480">
        <v>0</v>
      </c>
      <c r="L122" s="480">
        <v>0</v>
      </c>
      <c r="M122" s="480">
        <v>0</v>
      </c>
      <c r="N122" s="480">
        <v>0</v>
      </c>
      <c r="O122" s="480">
        <v>0</v>
      </c>
      <c r="P122" s="479">
        <v>0</v>
      </c>
      <c r="Q122" s="480">
        <v>0</v>
      </c>
      <c r="R122" s="479">
        <v>0</v>
      </c>
      <c r="S122" s="478">
        <v>0</v>
      </c>
      <c r="T122" s="479">
        <v>0</v>
      </c>
      <c r="U122" s="480">
        <v>0</v>
      </c>
      <c r="V122" s="479">
        <v>0</v>
      </c>
      <c r="W122" s="478">
        <v>0</v>
      </c>
      <c r="X122" s="479">
        <v>0</v>
      </c>
      <c r="Y122" s="480">
        <v>0</v>
      </c>
      <c r="Z122" s="479">
        <v>0</v>
      </c>
      <c r="AA122" s="478">
        <v>0</v>
      </c>
      <c r="AB122" s="479">
        <v>0</v>
      </c>
      <c r="AC122" s="480">
        <v>0</v>
      </c>
      <c r="AD122" s="479">
        <v>0</v>
      </c>
      <c r="AE122" s="478">
        <v>0</v>
      </c>
      <c r="AF122" s="479">
        <v>0</v>
      </c>
      <c r="AG122" s="480">
        <v>0</v>
      </c>
      <c r="AH122" s="479">
        <v>0</v>
      </c>
      <c r="AI122" s="478">
        <v>0</v>
      </c>
      <c r="AJ122" s="479">
        <v>0</v>
      </c>
      <c r="AK122" s="480">
        <v>0</v>
      </c>
      <c r="AL122" s="479">
        <v>0</v>
      </c>
      <c r="AM122" s="478">
        <v>0</v>
      </c>
    </row>
    <row r="123" spans="1:39" ht="13.5" customHeight="1" x14ac:dyDescent="0.25">
      <c r="A123" s="493"/>
      <c r="B123" s="23" t="s">
        <v>77</v>
      </c>
      <c r="C123" s="480"/>
      <c r="D123" s="480"/>
      <c r="E123" s="480"/>
      <c r="F123" s="480"/>
      <c r="G123" s="480"/>
      <c r="H123" s="480"/>
      <c r="I123" s="480"/>
      <c r="J123" s="480"/>
      <c r="K123" s="480"/>
      <c r="L123" s="480"/>
      <c r="M123" s="480"/>
      <c r="N123" s="480"/>
      <c r="O123" s="480"/>
      <c r="P123" s="479"/>
      <c r="Q123" s="480"/>
      <c r="R123" s="479"/>
      <c r="S123" s="478"/>
      <c r="T123" s="479"/>
      <c r="U123" s="480"/>
      <c r="V123" s="479"/>
      <c r="W123" s="478"/>
      <c r="X123" s="479"/>
      <c r="Y123" s="480"/>
      <c r="Z123" s="479"/>
      <c r="AA123" s="478"/>
      <c r="AB123" s="479"/>
      <c r="AC123" s="480"/>
      <c r="AD123" s="479"/>
      <c r="AE123" s="478"/>
      <c r="AF123" s="479"/>
      <c r="AG123" s="480"/>
      <c r="AH123" s="479"/>
      <c r="AI123" s="478"/>
      <c r="AJ123" s="479"/>
      <c r="AK123" s="480"/>
      <c r="AL123" s="479"/>
      <c r="AM123" s="478"/>
    </row>
    <row r="124" spans="1:39" ht="13.5" customHeight="1" x14ac:dyDescent="0.25">
      <c r="A124" s="483"/>
      <c r="B124" s="14" t="s">
        <v>78</v>
      </c>
      <c r="C124" s="485"/>
      <c r="D124" s="255">
        <v>0</v>
      </c>
      <c r="E124" s="255">
        <v>0</v>
      </c>
      <c r="F124" s="255">
        <v>0</v>
      </c>
      <c r="G124" s="255">
        <v>0</v>
      </c>
      <c r="H124" s="255">
        <v>0</v>
      </c>
      <c r="I124" s="255">
        <v>0</v>
      </c>
      <c r="J124" s="255">
        <v>0</v>
      </c>
      <c r="K124" s="255">
        <v>0</v>
      </c>
      <c r="L124" s="255">
        <v>0</v>
      </c>
      <c r="M124" s="255">
        <v>0</v>
      </c>
      <c r="N124" s="255">
        <v>0</v>
      </c>
      <c r="O124" s="255">
        <v>0</v>
      </c>
      <c r="P124" s="317">
        <v>0</v>
      </c>
      <c r="Q124" s="308">
        <v>0</v>
      </c>
      <c r="R124" s="317">
        <v>0</v>
      </c>
      <c r="S124" s="306">
        <v>0</v>
      </c>
      <c r="T124" s="317">
        <v>0</v>
      </c>
      <c r="U124" s="308">
        <v>0</v>
      </c>
      <c r="V124" s="317">
        <v>0</v>
      </c>
      <c r="W124" s="306">
        <v>0</v>
      </c>
      <c r="X124" s="317">
        <v>0</v>
      </c>
      <c r="Y124" s="308">
        <v>0</v>
      </c>
      <c r="Z124" s="317">
        <v>0</v>
      </c>
      <c r="AA124" s="306">
        <v>0</v>
      </c>
      <c r="AB124" s="251">
        <v>0</v>
      </c>
      <c r="AC124" s="255">
        <v>0</v>
      </c>
      <c r="AD124" s="251">
        <v>0</v>
      </c>
      <c r="AE124" s="257">
        <v>0</v>
      </c>
      <c r="AF124" s="251">
        <v>0</v>
      </c>
      <c r="AG124" s="255">
        <v>0</v>
      </c>
      <c r="AH124" s="251">
        <v>0</v>
      </c>
      <c r="AI124" s="257">
        <v>0</v>
      </c>
      <c r="AJ124" s="251">
        <v>0</v>
      </c>
      <c r="AK124" s="255">
        <v>0</v>
      </c>
      <c r="AL124" s="251">
        <v>0</v>
      </c>
      <c r="AM124" s="257">
        <v>0</v>
      </c>
    </row>
    <row r="125" spans="1:39" ht="14.25" customHeight="1" x14ac:dyDescent="0.25">
      <c r="A125" s="482" t="s">
        <v>96</v>
      </c>
      <c r="B125" s="12" t="s">
        <v>86</v>
      </c>
      <c r="C125" s="484" t="s">
        <v>11</v>
      </c>
      <c r="D125" s="488"/>
      <c r="E125" s="488"/>
      <c r="F125" s="488"/>
      <c r="G125" s="488"/>
      <c r="H125" s="488"/>
      <c r="I125" s="488"/>
      <c r="J125" s="484"/>
      <c r="K125" s="484"/>
      <c r="L125" s="495"/>
      <c r="M125" s="484"/>
      <c r="N125" s="495"/>
      <c r="O125" s="484"/>
      <c r="P125" s="495"/>
      <c r="Q125" s="484"/>
      <c r="R125" s="495"/>
      <c r="S125" s="488"/>
      <c r="T125" s="495"/>
      <c r="U125" s="484"/>
      <c r="V125" s="495"/>
      <c r="W125" s="488"/>
      <c r="X125" s="495"/>
      <c r="Y125" s="484"/>
      <c r="Z125" s="495"/>
      <c r="AA125" s="488"/>
      <c r="AB125" s="495"/>
      <c r="AC125" s="484"/>
      <c r="AD125" s="495"/>
      <c r="AE125" s="488"/>
      <c r="AF125" s="495"/>
      <c r="AG125" s="484"/>
      <c r="AH125" s="495"/>
      <c r="AI125" s="488"/>
      <c r="AJ125" s="495"/>
      <c r="AK125" s="484"/>
      <c r="AL125" s="495"/>
      <c r="AM125" s="488"/>
    </row>
    <row r="126" spans="1:39" ht="14.25" customHeight="1" x14ac:dyDescent="0.25">
      <c r="A126" s="493"/>
      <c r="B126" s="24" t="s">
        <v>89</v>
      </c>
      <c r="C126" s="480"/>
      <c r="D126" s="478"/>
      <c r="E126" s="478"/>
      <c r="F126" s="478"/>
      <c r="G126" s="478"/>
      <c r="H126" s="478"/>
      <c r="I126" s="478"/>
      <c r="J126" s="480"/>
      <c r="K126" s="480"/>
      <c r="L126" s="479"/>
      <c r="M126" s="480"/>
      <c r="N126" s="479"/>
      <c r="O126" s="480"/>
      <c r="P126" s="479"/>
      <c r="Q126" s="480"/>
      <c r="R126" s="479"/>
      <c r="S126" s="478"/>
      <c r="T126" s="479"/>
      <c r="U126" s="480"/>
      <c r="V126" s="479"/>
      <c r="W126" s="478"/>
      <c r="X126" s="479"/>
      <c r="Y126" s="480"/>
      <c r="Z126" s="479"/>
      <c r="AA126" s="478"/>
      <c r="AB126" s="479"/>
      <c r="AC126" s="480"/>
      <c r="AD126" s="479"/>
      <c r="AE126" s="478"/>
      <c r="AF126" s="479"/>
      <c r="AG126" s="480"/>
      <c r="AH126" s="479"/>
      <c r="AI126" s="478"/>
      <c r="AJ126" s="479"/>
      <c r="AK126" s="480"/>
      <c r="AL126" s="479"/>
      <c r="AM126" s="478"/>
    </row>
    <row r="127" spans="1:39" ht="14.25" customHeight="1" x14ac:dyDescent="0.25">
      <c r="A127" s="493"/>
      <c r="B127" s="23" t="s">
        <v>76</v>
      </c>
      <c r="C127" s="480"/>
      <c r="D127" s="494">
        <v>241</v>
      </c>
      <c r="E127" s="478">
        <v>0</v>
      </c>
      <c r="F127" s="494">
        <v>241</v>
      </c>
      <c r="G127" s="478">
        <v>0</v>
      </c>
      <c r="H127" s="478">
        <v>0</v>
      </c>
      <c r="I127" s="478">
        <v>0</v>
      </c>
      <c r="J127" s="480">
        <v>0</v>
      </c>
      <c r="K127" s="480">
        <v>0</v>
      </c>
      <c r="L127" s="479">
        <f>L102*0.07</f>
        <v>172</v>
      </c>
      <c r="M127" s="480">
        <v>0</v>
      </c>
      <c r="N127" s="479">
        <f>N102*0.07</f>
        <v>122</v>
      </c>
      <c r="O127" s="480">
        <v>0</v>
      </c>
      <c r="P127" s="479">
        <f>P102*0.07</f>
        <v>348</v>
      </c>
      <c r="Q127" s="480">
        <v>0</v>
      </c>
      <c r="R127" s="479">
        <f>R102*0.07</f>
        <v>180</v>
      </c>
      <c r="S127" s="478">
        <v>0</v>
      </c>
      <c r="T127" s="479">
        <f>T102*0.07</f>
        <v>648</v>
      </c>
      <c r="U127" s="480">
        <v>0</v>
      </c>
      <c r="V127" s="479">
        <f>V102*0.07</f>
        <v>515</v>
      </c>
      <c r="W127" s="478">
        <v>0</v>
      </c>
      <c r="X127" s="479">
        <f>X102*0.07</f>
        <v>681</v>
      </c>
      <c r="Y127" s="480">
        <v>0</v>
      </c>
      <c r="Z127" s="479">
        <f>Z102*0.07</f>
        <v>536</v>
      </c>
      <c r="AA127" s="478">
        <v>0</v>
      </c>
      <c r="AB127" s="479">
        <f>AB102*0.07</f>
        <v>667</v>
      </c>
      <c r="AC127" s="480">
        <v>0</v>
      </c>
      <c r="AD127" s="479">
        <f>AD102*0.07</f>
        <v>508</v>
      </c>
      <c r="AE127" s="478">
        <v>0</v>
      </c>
      <c r="AF127" s="479">
        <f>AF102*0.07</f>
        <v>347</v>
      </c>
      <c r="AG127" s="480">
        <v>0</v>
      </c>
      <c r="AH127" s="479">
        <f>AH102*0.07</f>
        <v>177</v>
      </c>
      <c r="AI127" s="478">
        <v>0</v>
      </c>
      <c r="AJ127" s="479">
        <f>AJ102*0.07</f>
        <v>586</v>
      </c>
      <c r="AK127" s="480">
        <v>0</v>
      </c>
      <c r="AL127" s="479">
        <f>AL102*0.07</f>
        <v>547</v>
      </c>
      <c r="AM127" s="478">
        <v>0</v>
      </c>
    </row>
    <row r="128" spans="1:39" ht="14.25" customHeight="1" x14ac:dyDescent="0.25">
      <c r="A128" s="493"/>
      <c r="B128" s="23" t="s">
        <v>77</v>
      </c>
      <c r="C128" s="480"/>
      <c r="D128" s="494"/>
      <c r="E128" s="478"/>
      <c r="F128" s="494"/>
      <c r="G128" s="478"/>
      <c r="H128" s="478"/>
      <c r="I128" s="478"/>
      <c r="J128" s="480"/>
      <c r="K128" s="480"/>
      <c r="L128" s="479"/>
      <c r="M128" s="480"/>
      <c r="N128" s="479"/>
      <c r="O128" s="480"/>
      <c r="P128" s="479"/>
      <c r="Q128" s="480"/>
      <c r="R128" s="479"/>
      <c r="S128" s="478"/>
      <c r="T128" s="479"/>
      <c r="U128" s="480"/>
      <c r="V128" s="479"/>
      <c r="W128" s="478"/>
      <c r="X128" s="479"/>
      <c r="Y128" s="480"/>
      <c r="Z128" s="479"/>
      <c r="AA128" s="478"/>
      <c r="AB128" s="479"/>
      <c r="AC128" s="480"/>
      <c r="AD128" s="479"/>
      <c r="AE128" s="478"/>
      <c r="AF128" s="479"/>
      <c r="AG128" s="480"/>
      <c r="AH128" s="479"/>
      <c r="AI128" s="478"/>
      <c r="AJ128" s="479"/>
      <c r="AK128" s="480"/>
      <c r="AL128" s="479"/>
      <c r="AM128" s="478"/>
    </row>
    <row r="129" spans="1:39" ht="14.25" customHeight="1" x14ac:dyDescent="0.25">
      <c r="A129" s="483"/>
      <c r="B129" s="14" t="s">
        <v>78</v>
      </c>
      <c r="C129" s="485"/>
      <c r="D129" s="262">
        <f>9</f>
        <v>9</v>
      </c>
      <c r="E129" s="257">
        <v>0</v>
      </c>
      <c r="F129" s="262">
        <f>9</f>
        <v>9</v>
      </c>
      <c r="G129" s="257">
        <v>0</v>
      </c>
      <c r="H129" s="257">
        <v>0</v>
      </c>
      <c r="I129" s="257">
        <v>0</v>
      </c>
      <c r="J129" s="255">
        <v>0</v>
      </c>
      <c r="K129" s="255">
        <v>0</v>
      </c>
      <c r="L129" s="260">
        <f>L104*0.07</f>
        <v>8</v>
      </c>
      <c r="M129" s="255">
        <v>0</v>
      </c>
      <c r="N129" s="260">
        <f>N104*0.07</f>
        <v>0</v>
      </c>
      <c r="O129" s="255">
        <v>0</v>
      </c>
      <c r="P129" s="314">
        <f>P104*0.07</f>
        <v>5</v>
      </c>
      <c r="Q129" s="308">
        <v>0</v>
      </c>
      <c r="R129" s="314">
        <v>0</v>
      </c>
      <c r="S129" s="306">
        <v>0</v>
      </c>
      <c r="T129" s="314">
        <f>T104*0.07</f>
        <v>8</v>
      </c>
      <c r="U129" s="308">
        <v>0</v>
      </c>
      <c r="V129" s="314">
        <v>0</v>
      </c>
      <c r="W129" s="306">
        <v>0</v>
      </c>
      <c r="X129" s="314">
        <f>X104*0.07</f>
        <v>9</v>
      </c>
      <c r="Y129" s="308">
        <v>0</v>
      </c>
      <c r="Z129" s="314">
        <v>0</v>
      </c>
      <c r="AA129" s="306">
        <v>0</v>
      </c>
      <c r="AB129" s="260">
        <f>AB104*0.07</f>
        <v>9</v>
      </c>
      <c r="AC129" s="255">
        <v>0</v>
      </c>
      <c r="AD129" s="260">
        <v>0</v>
      </c>
      <c r="AE129" s="257">
        <v>0</v>
      </c>
      <c r="AF129" s="260">
        <f>AF104*0.07</f>
        <v>9</v>
      </c>
      <c r="AG129" s="255">
        <v>0</v>
      </c>
      <c r="AH129" s="260">
        <v>0</v>
      </c>
      <c r="AI129" s="257">
        <v>0</v>
      </c>
      <c r="AJ129" s="260">
        <f>AJ104*0.07</f>
        <v>8</v>
      </c>
      <c r="AK129" s="255">
        <v>0</v>
      </c>
      <c r="AL129" s="260">
        <v>0</v>
      </c>
      <c r="AM129" s="257">
        <v>0</v>
      </c>
    </row>
    <row r="130" spans="1:39" ht="14.25" customHeight="1" x14ac:dyDescent="0.25">
      <c r="A130" s="482">
        <v>11</v>
      </c>
      <c r="B130" s="12" t="s">
        <v>97</v>
      </c>
      <c r="C130" s="484" t="s">
        <v>26</v>
      </c>
      <c r="D130" s="491">
        <f>D118/D93</f>
        <v>0.1</v>
      </c>
      <c r="E130" s="484" t="s">
        <v>118</v>
      </c>
      <c r="F130" s="491">
        <f>F118/F93</f>
        <v>0.1</v>
      </c>
      <c r="G130" s="484" t="s">
        <v>118</v>
      </c>
      <c r="H130" s="484" t="s">
        <v>118</v>
      </c>
      <c r="I130" s="484" t="s">
        <v>118</v>
      </c>
      <c r="J130" s="484" t="s">
        <v>118</v>
      </c>
      <c r="K130" s="484" t="s">
        <v>118</v>
      </c>
      <c r="L130" s="491">
        <f>L118/L93</f>
        <v>7.0000000000000007E-2</v>
      </c>
      <c r="M130" s="484" t="s">
        <v>118</v>
      </c>
      <c r="N130" s="491">
        <f>N118/N93</f>
        <v>7.0000000000000007E-2</v>
      </c>
      <c r="O130" s="484" t="s">
        <v>118</v>
      </c>
      <c r="P130" s="491">
        <f>P118/P93</f>
        <v>0.09</v>
      </c>
      <c r="Q130" s="484" t="s">
        <v>118</v>
      </c>
      <c r="R130" s="491">
        <f>R118/R93</f>
        <v>7.0000000000000007E-2</v>
      </c>
      <c r="S130" s="488" t="s">
        <v>118</v>
      </c>
      <c r="T130" s="491">
        <f>T118/T93</f>
        <v>7.0000000000000007E-2</v>
      </c>
      <c r="U130" s="484" t="s">
        <v>118</v>
      </c>
      <c r="V130" s="491">
        <f>V118/V93</f>
        <v>7.0000000000000007E-2</v>
      </c>
      <c r="W130" s="488" t="s">
        <v>118</v>
      </c>
      <c r="X130" s="491">
        <f>X118/X93</f>
        <v>7.0000000000000007E-2</v>
      </c>
      <c r="Y130" s="484" t="s">
        <v>118</v>
      </c>
      <c r="Z130" s="491">
        <f>Z118/Z93</f>
        <v>7.0000000000000007E-2</v>
      </c>
      <c r="AA130" s="488" t="s">
        <v>118</v>
      </c>
      <c r="AB130" s="491">
        <f>AB118/AB93</f>
        <v>7.0000000000000007E-2</v>
      </c>
      <c r="AC130" s="484" t="s">
        <v>118</v>
      </c>
      <c r="AD130" s="491">
        <f>AD118/AD93</f>
        <v>7.0000000000000007E-2</v>
      </c>
      <c r="AE130" s="488" t="s">
        <v>118</v>
      </c>
      <c r="AF130" s="491">
        <f>AF118/AF93</f>
        <v>7.0000000000000007E-2</v>
      </c>
      <c r="AG130" s="484" t="s">
        <v>118</v>
      </c>
      <c r="AH130" s="491">
        <f>AH118/AH93</f>
        <v>7.0000000000000007E-2</v>
      </c>
      <c r="AI130" s="488" t="s">
        <v>118</v>
      </c>
      <c r="AJ130" s="491">
        <f>AJ118/AJ93</f>
        <v>7.0000000000000007E-2</v>
      </c>
      <c r="AK130" s="484" t="s">
        <v>118</v>
      </c>
      <c r="AL130" s="491">
        <f>AL118/AL93</f>
        <v>7.0000000000000007E-2</v>
      </c>
      <c r="AM130" s="488" t="s">
        <v>118</v>
      </c>
    </row>
    <row r="131" spans="1:39" ht="14.25" customHeight="1" x14ac:dyDescent="0.25">
      <c r="A131" s="493"/>
      <c r="B131" s="24" t="s">
        <v>98</v>
      </c>
      <c r="C131" s="480"/>
      <c r="D131" s="486"/>
      <c r="E131" s="480"/>
      <c r="F131" s="486"/>
      <c r="G131" s="480"/>
      <c r="H131" s="480"/>
      <c r="I131" s="480"/>
      <c r="J131" s="480"/>
      <c r="K131" s="480"/>
      <c r="L131" s="486"/>
      <c r="M131" s="480"/>
      <c r="N131" s="486"/>
      <c r="O131" s="480"/>
      <c r="P131" s="486"/>
      <c r="Q131" s="480"/>
      <c r="R131" s="486"/>
      <c r="S131" s="478"/>
      <c r="T131" s="486"/>
      <c r="U131" s="480"/>
      <c r="V131" s="486"/>
      <c r="W131" s="478"/>
      <c r="X131" s="486"/>
      <c r="Y131" s="480"/>
      <c r="Z131" s="486"/>
      <c r="AA131" s="478"/>
      <c r="AB131" s="486"/>
      <c r="AC131" s="480"/>
      <c r="AD131" s="486"/>
      <c r="AE131" s="478"/>
      <c r="AF131" s="486"/>
      <c r="AG131" s="480"/>
      <c r="AH131" s="486"/>
      <c r="AI131" s="478"/>
      <c r="AJ131" s="486"/>
      <c r="AK131" s="480"/>
      <c r="AL131" s="486"/>
      <c r="AM131" s="478"/>
    </row>
    <row r="132" spans="1:39" ht="14.25" customHeight="1" x14ac:dyDescent="0.25">
      <c r="A132" s="483"/>
      <c r="B132" s="13" t="s">
        <v>99</v>
      </c>
      <c r="C132" s="485"/>
      <c r="D132" s="492"/>
      <c r="E132" s="485"/>
      <c r="F132" s="492"/>
      <c r="G132" s="485"/>
      <c r="H132" s="485"/>
      <c r="I132" s="485"/>
      <c r="J132" s="485"/>
      <c r="K132" s="485"/>
      <c r="L132" s="492"/>
      <c r="M132" s="485"/>
      <c r="N132" s="492"/>
      <c r="O132" s="485"/>
      <c r="P132" s="492"/>
      <c r="Q132" s="485"/>
      <c r="R132" s="492"/>
      <c r="S132" s="489"/>
      <c r="T132" s="492"/>
      <c r="U132" s="485"/>
      <c r="V132" s="492"/>
      <c r="W132" s="489"/>
      <c r="X132" s="492"/>
      <c r="Y132" s="485"/>
      <c r="Z132" s="492"/>
      <c r="AA132" s="489"/>
      <c r="AB132" s="492"/>
      <c r="AC132" s="485"/>
      <c r="AD132" s="492"/>
      <c r="AE132" s="489"/>
      <c r="AF132" s="492"/>
      <c r="AG132" s="485"/>
      <c r="AH132" s="492"/>
      <c r="AI132" s="489"/>
      <c r="AJ132" s="492"/>
      <c r="AK132" s="485"/>
      <c r="AL132" s="492"/>
      <c r="AM132" s="489"/>
    </row>
    <row r="133" spans="1:39" s="17" customFormat="1" ht="16.5" customHeight="1" x14ac:dyDescent="0.25">
      <c r="A133" s="145" t="s">
        <v>185</v>
      </c>
      <c r="B133" s="19" t="s">
        <v>100</v>
      </c>
      <c r="C133" s="490" t="s">
        <v>252</v>
      </c>
      <c r="D133" s="44">
        <f>D137</f>
        <v>9454</v>
      </c>
      <c r="E133" s="265">
        <v>0</v>
      </c>
      <c r="F133" s="44">
        <f>F137</f>
        <v>9455</v>
      </c>
      <c r="G133" s="265">
        <v>0</v>
      </c>
      <c r="H133" s="265">
        <v>0</v>
      </c>
      <c r="I133" s="265">
        <v>0</v>
      </c>
      <c r="J133" s="265">
        <v>0</v>
      </c>
      <c r="K133" s="265">
        <v>0</v>
      </c>
      <c r="L133" s="256">
        <f>L137</f>
        <v>18560</v>
      </c>
      <c r="M133" s="265">
        <v>0</v>
      </c>
      <c r="N133" s="256">
        <f>N137</f>
        <v>13600</v>
      </c>
      <c r="O133" s="265">
        <v>0</v>
      </c>
      <c r="P133" s="309">
        <f>P137</f>
        <v>17999</v>
      </c>
      <c r="Q133" s="311">
        <v>0</v>
      </c>
      <c r="R133" s="309">
        <f>R137</f>
        <v>12344</v>
      </c>
      <c r="S133" s="310">
        <v>0</v>
      </c>
      <c r="T133" s="309">
        <f>T137</f>
        <v>42085</v>
      </c>
      <c r="U133" s="311">
        <v>0</v>
      </c>
      <c r="V133" s="309">
        <f>V137</f>
        <v>33445</v>
      </c>
      <c r="W133" s="310">
        <v>0</v>
      </c>
      <c r="X133" s="309">
        <f>X137</f>
        <v>40595</v>
      </c>
      <c r="Y133" s="311">
        <v>0</v>
      </c>
      <c r="Z133" s="309">
        <f>Z137</f>
        <v>31955</v>
      </c>
      <c r="AA133" s="310">
        <v>0</v>
      </c>
      <c r="AB133" s="256">
        <f>AB137</f>
        <v>37600</v>
      </c>
      <c r="AC133" s="265">
        <v>0</v>
      </c>
      <c r="AD133" s="256">
        <f>AD137</f>
        <v>28960</v>
      </c>
      <c r="AE133" s="249">
        <v>0</v>
      </c>
      <c r="AF133" s="256">
        <f>AF137</f>
        <v>18115</v>
      </c>
      <c r="AG133" s="265">
        <v>0</v>
      </c>
      <c r="AH133" s="256">
        <f>AH137</f>
        <v>9475</v>
      </c>
      <c r="AI133" s="249">
        <v>0</v>
      </c>
      <c r="AJ133" s="256">
        <f>AJ137</f>
        <v>51600</v>
      </c>
      <c r="AK133" s="265">
        <v>0</v>
      </c>
      <c r="AL133" s="256">
        <f>AL137</f>
        <v>49040</v>
      </c>
      <c r="AM133" s="249">
        <v>0</v>
      </c>
    </row>
    <row r="134" spans="1:39" s="17" customFormat="1" ht="11.25" customHeight="1" x14ac:dyDescent="0.25">
      <c r="A134" s="15"/>
      <c r="B134" s="19" t="s">
        <v>34</v>
      </c>
      <c r="C134" s="478"/>
      <c r="D134" s="265"/>
      <c r="E134" s="265"/>
      <c r="F134" s="265"/>
      <c r="G134" s="265"/>
      <c r="H134" s="265"/>
      <c r="I134" s="265"/>
      <c r="J134" s="265"/>
      <c r="K134" s="265"/>
      <c r="L134" s="256"/>
      <c r="M134" s="265"/>
      <c r="N134" s="256"/>
      <c r="O134" s="265"/>
      <c r="P134" s="309"/>
      <c r="Q134" s="311"/>
      <c r="R134" s="309"/>
      <c r="S134" s="310"/>
      <c r="T134" s="309"/>
      <c r="U134" s="311"/>
      <c r="V134" s="309"/>
      <c r="W134" s="310"/>
      <c r="X134" s="309"/>
      <c r="Y134" s="311"/>
      <c r="Z134" s="309"/>
      <c r="AA134" s="310"/>
      <c r="AB134" s="256"/>
      <c r="AC134" s="265"/>
      <c r="AD134" s="256"/>
      <c r="AE134" s="249"/>
      <c r="AF134" s="256"/>
      <c r="AG134" s="265"/>
      <c r="AH134" s="256"/>
      <c r="AI134" s="249"/>
      <c r="AJ134" s="256"/>
      <c r="AK134" s="265"/>
      <c r="AL134" s="256"/>
      <c r="AM134" s="249"/>
    </row>
    <row r="135" spans="1:39" s="17" customFormat="1" ht="13.5" customHeight="1" x14ac:dyDescent="0.25">
      <c r="A135" s="15" t="s">
        <v>101</v>
      </c>
      <c r="B135" s="26" t="s">
        <v>59</v>
      </c>
      <c r="C135" s="478"/>
      <c r="D135" s="265">
        <v>0</v>
      </c>
      <c r="E135" s="265">
        <v>0</v>
      </c>
      <c r="F135" s="265">
        <v>0</v>
      </c>
      <c r="G135" s="265">
        <v>0</v>
      </c>
      <c r="H135" s="265">
        <v>0</v>
      </c>
      <c r="I135" s="265">
        <v>0</v>
      </c>
      <c r="J135" s="265">
        <v>0</v>
      </c>
      <c r="K135" s="265">
        <v>0</v>
      </c>
      <c r="L135" s="265">
        <v>0</v>
      </c>
      <c r="M135" s="265">
        <v>0</v>
      </c>
      <c r="N135" s="265">
        <v>0</v>
      </c>
      <c r="O135" s="265">
        <v>0</v>
      </c>
      <c r="P135" s="311">
        <v>0</v>
      </c>
      <c r="Q135" s="311">
        <v>0</v>
      </c>
      <c r="R135" s="311">
        <v>0</v>
      </c>
      <c r="S135" s="310">
        <v>0</v>
      </c>
      <c r="T135" s="311">
        <v>0</v>
      </c>
      <c r="U135" s="311">
        <v>0</v>
      </c>
      <c r="V135" s="311">
        <v>0</v>
      </c>
      <c r="W135" s="310">
        <v>0</v>
      </c>
      <c r="X135" s="311">
        <v>0</v>
      </c>
      <c r="Y135" s="311">
        <v>0</v>
      </c>
      <c r="Z135" s="311">
        <v>0</v>
      </c>
      <c r="AA135" s="310">
        <v>0</v>
      </c>
      <c r="AB135" s="265">
        <v>0</v>
      </c>
      <c r="AC135" s="265">
        <v>0</v>
      </c>
      <c r="AD135" s="265">
        <v>0</v>
      </c>
      <c r="AE135" s="249">
        <v>0</v>
      </c>
      <c r="AF135" s="265">
        <v>0</v>
      </c>
      <c r="AG135" s="265">
        <v>0</v>
      </c>
      <c r="AH135" s="265">
        <v>0</v>
      </c>
      <c r="AI135" s="249">
        <v>0</v>
      </c>
      <c r="AJ135" s="265">
        <v>0</v>
      </c>
      <c r="AK135" s="265">
        <v>0</v>
      </c>
      <c r="AL135" s="265">
        <v>0</v>
      </c>
      <c r="AM135" s="249">
        <v>0</v>
      </c>
    </row>
    <row r="136" spans="1:39" s="17" customFormat="1" ht="13.5" customHeight="1" x14ac:dyDescent="0.25">
      <c r="A136" s="15" t="s">
        <v>102</v>
      </c>
      <c r="B136" s="26" t="s">
        <v>60</v>
      </c>
      <c r="C136" s="478"/>
      <c r="D136" s="265">
        <v>0</v>
      </c>
      <c r="E136" s="265">
        <v>0</v>
      </c>
      <c r="F136" s="265">
        <v>0</v>
      </c>
      <c r="G136" s="265">
        <v>0</v>
      </c>
      <c r="H136" s="265">
        <v>0</v>
      </c>
      <c r="I136" s="265">
        <v>0</v>
      </c>
      <c r="J136" s="265">
        <v>0</v>
      </c>
      <c r="K136" s="265">
        <v>0</v>
      </c>
      <c r="L136" s="265">
        <v>0</v>
      </c>
      <c r="M136" s="265">
        <v>0</v>
      </c>
      <c r="N136" s="265">
        <v>0</v>
      </c>
      <c r="O136" s="265">
        <v>0</v>
      </c>
      <c r="P136" s="311">
        <v>0</v>
      </c>
      <c r="Q136" s="311">
        <v>0</v>
      </c>
      <c r="R136" s="311">
        <v>0</v>
      </c>
      <c r="S136" s="310">
        <v>0</v>
      </c>
      <c r="T136" s="311">
        <v>0</v>
      </c>
      <c r="U136" s="311">
        <v>0</v>
      </c>
      <c r="V136" s="311">
        <v>0</v>
      </c>
      <c r="W136" s="310">
        <v>0</v>
      </c>
      <c r="X136" s="311">
        <v>0</v>
      </c>
      <c r="Y136" s="311">
        <v>0</v>
      </c>
      <c r="Z136" s="311">
        <v>0</v>
      </c>
      <c r="AA136" s="310">
        <v>0</v>
      </c>
      <c r="AB136" s="265">
        <v>0</v>
      </c>
      <c r="AC136" s="265">
        <v>0</v>
      </c>
      <c r="AD136" s="265">
        <v>0</v>
      </c>
      <c r="AE136" s="249">
        <v>0</v>
      </c>
      <c r="AF136" s="265">
        <v>0</v>
      </c>
      <c r="AG136" s="265">
        <v>0</v>
      </c>
      <c r="AH136" s="265">
        <v>0</v>
      </c>
      <c r="AI136" s="249">
        <v>0</v>
      </c>
      <c r="AJ136" s="265">
        <v>0</v>
      </c>
      <c r="AK136" s="265">
        <v>0</v>
      </c>
      <c r="AL136" s="265">
        <v>0</v>
      </c>
      <c r="AM136" s="249">
        <v>0</v>
      </c>
    </row>
    <row r="137" spans="1:39" ht="13.5" customHeight="1" x14ac:dyDescent="0.25">
      <c r="A137" s="482" t="s">
        <v>103</v>
      </c>
      <c r="B137" s="27" t="s">
        <v>61</v>
      </c>
      <c r="C137" s="478"/>
      <c r="D137" s="479">
        <f>59.09*20*8</f>
        <v>9454</v>
      </c>
      <c r="E137" s="480">
        <v>0</v>
      </c>
      <c r="F137" s="479">
        <f>59.092*20*8</f>
        <v>9455</v>
      </c>
      <c r="G137" s="480">
        <v>0</v>
      </c>
      <c r="H137" s="480">
        <v>0</v>
      </c>
      <c r="I137" s="480">
        <v>0</v>
      </c>
      <c r="J137" s="480">
        <v>0</v>
      </c>
      <c r="K137" s="480">
        <v>0</v>
      </c>
      <c r="L137" s="487">
        <f>'[1]Бизнес-план на 2018'!N24*20*8</f>
        <v>18560</v>
      </c>
      <c r="M137" s="480">
        <v>0</v>
      </c>
      <c r="N137" s="487">
        <f>'[1]Бизнес-план на 2018'!C24*20*8</f>
        <v>13600</v>
      </c>
      <c r="O137" s="480">
        <v>0</v>
      </c>
      <c r="P137" s="487">
        <f>'Бизнес-план 18 190117'!K25</f>
        <v>17999</v>
      </c>
      <c r="Q137" s="480">
        <v>0</v>
      </c>
      <c r="R137" s="487">
        <f>'Бизнес-план 18 190117'!C25</f>
        <v>12344</v>
      </c>
      <c r="S137" s="478">
        <v>0</v>
      </c>
      <c r="T137" s="487">
        <f>'Бизнес-план 19 190117'!N25</f>
        <v>42085</v>
      </c>
      <c r="U137" s="480">
        <v>0</v>
      </c>
      <c r="V137" s="487">
        <f>'Бизнес-план 19 190117'!D25</f>
        <v>33445</v>
      </c>
      <c r="W137" s="478">
        <v>0</v>
      </c>
      <c r="X137" s="487">
        <f>'Бизнес-план 20 190117'!L25</f>
        <v>40595</v>
      </c>
      <c r="Y137" s="480">
        <v>0</v>
      </c>
      <c r="Z137" s="487">
        <f>'Бизнес-план 20 190117'!C25</f>
        <v>31955</v>
      </c>
      <c r="AA137" s="478">
        <v>0</v>
      </c>
      <c r="AB137" s="487">
        <f>'Бизнес-план 21 190117'!I25</f>
        <v>37600</v>
      </c>
      <c r="AC137" s="480">
        <v>0</v>
      </c>
      <c r="AD137" s="487">
        <f>'Бизнес-план 21 190117'!C25</f>
        <v>28960</v>
      </c>
      <c r="AE137" s="478">
        <v>0</v>
      </c>
      <c r="AF137" s="487">
        <f>'Бизнес-план 22 190117'!H25</f>
        <v>18115</v>
      </c>
      <c r="AG137" s="480">
        <v>0</v>
      </c>
      <c r="AH137" s="487">
        <f>'Бизнес-план 22 190117'!C25</f>
        <v>9475</v>
      </c>
      <c r="AI137" s="478">
        <v>0</v>
      </c>
      <c r="AJ137" s="487">
        <f>'[1]Бизнес-план на 2019'!N24*160</f>
        <v>51600</v>
      </c>
      <c r="AK137" s="480">
        <v>0</v>
      </c>
      <c r="AL137" s="487">
        <f>'[1]Бизнес-план на 2019'!C24*160</f>
        <v>49040</v>
      </c>
      <c r="AM137" s="478">
        <v>0</v>
      </c>
    </row>
    <row r="138" spans="1:39" ht="13.5" customHeight="1" x14ac:dyDescent="0.25">
      <c r="A138" s="483"/>
      <c r="B138" s="14" t="s">
        <v>62</v>
      </c>
      <c r="C138" s="489"/>
      <c r="D138" s="479"/>
      <c r="E138" s="480"/>
      <c r="F138" s="479"/>
      <c r="G138" s="480"/>
      <c r="H138" s="480"/>
      <c r="I138" s="480"/>
      <c r="J138" s="480"/>
      <c r="K138" s="480"/>
      <c r="L138" s="487"/>
      <c r="M138" s="480"/>
      <c r="N138" s="487"/>
      <c r="O138" s="480"/>
      <c r="P138" s="487"/>
      <c r="Q138" s="480"/>
      <c r="R138" s="487"/>
      <c r="S138" s="478"/>
      <c r="T138" s="487"/>
      <c r="U138" s="480"/>
      <c r="V138" s="487"/>
      <c r="W138" s="478"/>
      <c r="X138" s="487"/>
      <c r="Y138" s="480"/>
      <c r="Z138" s="487"/>
      <c r="AA138" s="478"/>
      <c r="AB138" s="487"/>
      <c r="AC138" s="480"/>
      <c r="AD138" s="487"/>
      <c r="AE138" s="478"/>
      <c r="AF138" s="487"/>
      <c r="AG138" s="480"/>
      <c r="AH138" s="487"/>
      <c r="AI138" s="478"/>
      <c r="AJ138" s="487"/>
      <c r="AK138" s="480"/>
      <c r="AL138" s="487"/>
      <c r="AM138" s="478"/>
    </row>
    <row r="139" spans="1:39" s="17" customFormat="1" ht="13.5" customHeight="1" x14ac:dyDescent="0.25">
      <c r="A139" s="15">
        <v>13</v>
      </c>
      <c r="B139" s="19" t="s">
        <v>104</v>
      </c>
      <c r="C139" s="265" t="s">
        <v>11</v>
      </c>
      <c r="D139" s="44">
        <f>72</f>
        <v>72</v>
      </c>
      <c r="E139" s="265">
        <v>0</v>
      </c>
      <c r="F139" s="44">
        <f>72</f>
        <v>72</v>
      </c>
      <c r="G139" s="265">
        <v>0</v>
      </c>
      <c r="H139" s="265">
        <v>0</v>
      </c>
      <c r="I139" s="265">
        <v>0</v>
      </c>
      <c r="J139" s="265">
        <v>0</v>
      </c>
      <c r="K139" s="265">
        <v>0</v>
      </c>
      <c r="L139" s="256">
        <f>'[1]Бизнес-план на 2018'!N12/1000</f>
        <v>1625</v>
      </c>
      <c r="M139" s="265">
        <v>0</v>
      </c>
      <c r="N139" s="256">
        <f>'[1]Бизнес-план на 2018'!C12/1000</f>
        <v>1157</v>
      </c>
      <c r="O139" s="265">
        <v>0</v>
      </c>
      <c r="P139" s="309">
        <f>'11дОПР'!C15/1000</f>
        <v>1521</v>
      </c>
      <c r="Q139" s="311">
        <v>0</v>
      </c>
      <c r="R139" s="309">
        <f>'11дОПР'!D15/1000</f>
        <v>1047</v>
      </c>
      <c r="S139" s="310">
        <v>0</v>
      </c>
      <c r="T139" s="309">
        <f>'11дОПР'!K15/1000</f>
        <v>3772</v>
      </c>
      <c r="U139" s="311">
        <v>0</v>
      </c>
      <c r="V139" s="309">
        <f>'11дОПР'!L15/1000</f>
        <v>2997</v>
      </c>
      <c r="W139" s="310">
        <v>0</v>
      </c>
      <c r="X139" s="309">
        <f>'11дОПР'!N15/1000</f>
        <v>3437</v>
      </c>
      <c r="Y139" s="311">
        <v>0</v>
      </c>
      <c r="Z139" s="309">
        <f>'11дОПР'!O15/1000</f>
        <v>2620</v>
      </c>
      <c r="AA139" s="310">
        <v>0</v>
      </c>
      <c r="AB139" s="256">
        <f>'11дОПР'!Q15/1000</f>
        <v>3369</v>
      </c>
      <c r="AC139" s="265">
        <v>0</v>
      </c>
      <c r="AD139" s="256">
        <f>'11дОПР'!R15/1000</f>
        <v>2506</v>
      </c>
      <c r="AE139" s="249">
        <v>0</v>
      </c>
      <c r="AF139" s="256">
        <f>'11дОПР'!T15/1000</f>
        <v>1776</v>
      </c>
      <c r="AG139" s="265">
        <v>0</v>
      </c>
      <c r="AH139" s="256">
        <f>'11дОПР'!U15/1000</f>
        <v>866</v>
      </c>
      <c r="AI139" s="249">
        <v>0</v>
      </c>
      <c r="AJ139" s="256">
        <f>'[1]Бизнес-план на 2019'!N12/1000</f>
        <v>4740</v>
      </c>
      <c r="AK139" s="265">
        <v>0</v>
      </c>
      <c r="AL139" s="256">
        <f>'[1]Бизнес-план на 2019'!C12/1000</f>
        <v>4432</v>
      </c>
      <c r="AM139" s="249">
        <v>0</v>
      </c>
    </row>
    <row r="140" spans="1:39" ht="55.5" customHeight="1" x14ac:dyDescent="0.25">
      <c r="A140" s="253" t="s">
        <v>105</v>
      </c>
      <c r="B140" s="25" t="s">
        <v>257</v>
      </c>
      <c r="C140" s="249" t="s">
        <v>11</v>
      </c>
      <c r="D140" s="256">
        <f>D93+D118</f>
        <v>6814</v>
      </c>
      <c r="E140" s="249">
        <v>0</v>
      </c>
      <c r="F140" s="256">
        <f>F93+F118</f>
        <v>6814</v>
      </c>
      <c r="G140" s="249">
        <v>0</v>
      </c>
      <c r="H140" s="249">
        <v>0</v>
      </c>
      <c r="I140" s="249">
        <v>0</v>
      </c>
      <c r="J140" s="249">
        <v>0</v>
      </c>
      <c r="K140" s="249">
        <v>0</v>
      </c>
      <c r="L140" s="256">
        <f>L93+L118</f>
        <v>10833</v>
      </c>
      <c r="M140" s="249">
        <v>0</v>
      </c>
      <c r="N140" s="256">
        <f>N93+N118</f>
        <v>7713</v>
      </c>
      <c r="O140" s="249">
        <v>0</v>
      </c>
      <c r="P140" s="309">
        <f>P93+P118</f>
        <v>12279</v>
      </c>
      <c r="Q140" s="310">
        <v>0</v>
      </c>
      <c r="R140" s="309">
        <f>R93+R118</f>
        <v>6981</v>
      </c>
      <c r="S140" s="310">
        <v>0</v>
      </c>
      <c r="T140" s="309">
        <f>T93+T118</f>
        <v>25144</v>
      </c>
      <c r="U140" s="310">
        <v>0</v>
      </c>
      <c r="V140" s="309">
        <f>V93+V118-1</f>
        <v>19980</v>
      </c>
      <c r="W140" s="310">
        <v>0</v>
      </c>
      <c r="X140" s="309">
        <f>X93+X118</f>
        <v>25602</v>
      </c>
      <c r="Y140" s="310">
        <v>0</v>
      </c>
      <c r="Z140" s="309">
        <f>Z93+Z118-1</f>
        <v>20152</v>
      </c>
      <c r="AA140" s="310">
        <v>0</v>
      </c>
      <c r="AB140" s="256">
        <f>AB93+AB118+1</f>
        <v>25033</v>
      </c>
      <c r="AC140" s="249">
        <v>0</v>
      </c>
      <c r="AD140" s="256">
        <f>AD93+AD118</f>
        <v>19279</v>
      </c>
      <c r="AE140" s="249">
        <v>0</v>
      </c>
      <c r="AF140" s="256">
        <f>AF93+AF118</f>
        <v>12730</v>
      </c>
      <c r="AG140" s="249">
        <v>0</v>
      </c>
      <c r="AH140" s="256">
        <f>AH93+AH118</f>
        <v>6659</v>
      </c>
      <c r="AI140" s="249">
        <v>0</v>
      </c>
      <c r="AJ140" s="256">
        <f>AJ93+AJ118</f>
        <v>31326</v>
      </c>
      <c r="AK140" s="249">
        <v>0</v>
      </c>
      <c r="AL140" s="256">
        <f>AL93+AL118</f>
        <v>29291</v>
      </c>
      <c r="AM140" s="249">
        <v>0</v>
      </c>
    </row>
    <row r="141" spans="1:39" ht="11.25" customHeight="1" x14ac:dyDescent="0.25">
      <c r="A141" s="482" t="s">
        <v>106</v>
      </c>
      <c r="B141" s="27" t="s">
        <v>107</v>
      </c>
      <c r="C141" s="480" t="s">
        <v>26</v>
      </c>
      <c r="D141" s="486">
        <f>D139/D140</f>
        <v>0.01</v>
      </c>
      <c r="E141" s="480" t="s">
        <v>118</v>
      </c>
      <c r="F141" s="486">
        <f>F139/F140</f>
        <v>0.01</v>
      </c>
      <c r="G141" s="480" t="s">
        <v>118</v>
      </c>
      <c r="H141" s="480" t="s">
        <v>118</v>
      </c>
      <c r="I141" s="480" t="s">
        <v>118</v>
      </c>
      <c r="J141" s="480" t="s">
        <v>118</v>
      </c>
      <c r="K141" s="480" t="s">
        <v>118</v>
      </c>
      <c r="L141" s="486">
        <f>L139/L140</f>
        <v>0.15</v>
      </c>
      <c r="M141" s="480" t="s">
        <v>118</v>
      </c>
      <c r="N141" s="486">
        <f>N139/N140</f>
        <v>0.15</v>
      </c>
      <c r="O141" s="480" t="s">
        <v>118</v>
      </c>
      <c r="P141" s="486">
        <f>P139/P140</f>
        <v>0.12</v>
      </c>
      <c r="Q141" s="480" t="s">
        <v>118</v>
      </c>
      <c r="R141" s="486">
        <f>R139/R140</f>
        <v>0.15</v>
      </c>
      <c r="S141" s="478" t="s">
        <v>118</v>
      </c>
      <c r="T141" s="486">
        <f>T139/T140</f>
        <v>0.15</v>
      </c>
      <c r="U141" s="480" t="s">
        <v>118</v>
      </c>
      <c r="V141" s="486">
        <f>V139/V140</f>
        <v>0.15</v>
      </c>
      <c r="W141" s="478" t="s">
        <v>118</v>
      </c>
      <c r="X141" s="486">
        <f>X139/X140</f>
        <v>0.13</v>
      </c>
      <c r="Y141" s="480" t="s">
        <v>118</v>
      </c>
      <c r="Z141" s="486">
        <f>Z139/Z140</f>
        <v>0.13</v>
      </c>
      <c r="AA141" s="478" t="s">
        <v>118</v>
      </c>
      <c r="AB141" s="486">
        <f>AB139/AB140</f>
        <v>0.13</v>
      </c>
      <c r="AC141" s="480" t="s">
        <v>118</v>
      </c>
      <c r="AD141" s="486">
        <f>AD139/AD140</f>
        <v>0.13</v>
      </c>
      <c r="AE141" s="478" t="s">
        <v>118</v>
      </c>
      <c r="AF141" s="486">
        <f>AF139/AF140</f>
        <v>0.14000000000000001</v>
      </c>
      <c r="AG141" s="480" t="s">
        <v>118</v>
      </c>
      <c r="AH141" s="486">
        <f>AH139/AH140</f>
        <v>0.13</v>
      </c>
      <c r="AI141" s="478" t="s">
        <v>118</v>
      </c>
      <c r="AJ141" s="486">
        <f>AJ139/AJ140</f>
        <v>0.15</v>
      </c>
      <c r="AK141" s="480" t="s">
        <v>118</v>
      </c>
      <c r="AL141" s="486">
        <f>AL139/AL140</f>
        <v>0.15</v>
      </c>
      <c r="AM141" s="478" t="s">
        <v>118</v>
      </c>
    </row>
    <row r="142" spans="1:39" ht="11.25" customHeight="1" x14ac:dyDescent="0.25">
      <c r="A142" s="483"/>
      <c r="B142" s="14" t="s">
        <v>108</v>
      </c>
      <c r="C142" s="485"/>
      <c r="D142" s="486"/>
      <c r="E142" s="480"/>
      <c r="F142" s="486"/>
      <c r="G142" s="480"/>
      <c r="H142" s="480"/>
      <c r="I142" s="480"/>
      <c r="J142" s="480"/>
      <c r="K142" s="480"/>
      <c r="L142" s="486"/>
      <c r="M142" s="480"/>
      <c r="N142" s="486"/>
      <c r="O142" s="480"/>
      <c r="P142" s="486"/>
      <c r="Q142" s="480"/>
      <c r="R142" s="486"/>
      <c r="S142" s="478"/>
      <c r="T142" s="486"/>
      <c r="U142" s="480"/>
      <c r="V142" s="486"/>
      <c r="W142" s="478"/>
      <c r="X142" s="486"/>
      <c r="Y142" s="480"/>
      <c r="Z142" s="486"/>
      <c r="AA142" s="478"/>
      <c r="AB142" s="486"/>
      <c r="AC142" s="480"/>
      <c r="AD142" s="486"/>
      <c r="AE142" s="478"/>
      <c r="AF142" s="486"/>
      <c r="AG142" s="480"/>
      <c r="AH142" s="486"/>
      <c r="AI142" s="478"/>
      <c r="AJ142" s="486"/>
      <c r="AK142" s="480"/>
      <c r="AL142" s="486"/>
      <c r="AM142" s="478"/>
    </row>
    <row r="143" spans="1:39" s="17" customFormat="1" ht="14.25" customHeight="1" x14ac:dyDescent="0.25">
      <c r="A143" s="15">
        <v>14</v>
      </c>
      <c r="B143" s="19" t="s">
        <v>109</v>
      </c>
      <c r="C143" s="265" t="s">
        <v>11</v>
      </c>
      <c r="D143" s="44">
        <f>8564</f>
        <v>8564</v>
      </c>
      <c r="E143" s="265">
        <v>0</v>
      </c>
      <c r="F143" s="44">
        <f>8564</f>
        <v>8564</v>
      </c>
      <c r="G143" s="265">
        <v>0</v>
      </c>
      <c r="H143" s="265">
        <v>0</v>
      </c>
      <c r="I143" s="265">
        <v>0</v>
      </c>
      <c r="J143" s="265">
        <v>0</v>
      </c>
      <c r="K143" s="265">
        <v>0</v>
      </c>
      <c r="L143" s="256">
        <f>'[1]Бизнес-план на 2018'!N11/1000</f>
        <v>9902</v>
      </c>
      <c r="M143" s="265">
        <v>0</v>
      </c>
      <c r="N143" s="256">
        <f>'[1]Бизнес-план на 2018'!C11/1000</f>
        <v>6941</v>
      </c>
      <c r="O143" s="265">
        <v>0</v>
      </c>
      <c r="P143" s="309">
        <f>'12дОХР'!C16/1000</f>
        <v>12217</v>
      </c>
      <c r="Q143" s="311">
        <v>0</v>
      </c>
      <c r="R143" s="309">
        <f>'12дОХР'!D16/1000</f>
        <v>6283</v>
      </c>
      <c r="S143" s="310">
        <v>0</v>
      </c>
      <c r="T143" s="309">
        <f>'12дОХР'!K16/1000</f>
        <v>22629</v>
      </c>
      <c r="U143" s="311">
        <v>0</v>
      </c>
      <c r="V143" s="309">
        <f>'12дОХР'!L16/1000</f>
        <v>17983</v>
      </c>
      <c r="W143" s="310">
        <v>0</v>
      </c>
      <c r="X143" s="309">
        <f>'12дОХР'!N16/1000</f>
        <v>21429</v>
      </c>
      <c r="Y143" s="311">
        <v>0</v>
      </c>
      <c r="Z143" s="309">
        <f>'12дОХР'!O16/1000</f>
        <v>16525</v>
      </c>
      <c r="AA143" s="310">
        <v>0</v>
      </c>
      <c r="AB143" s="256">
        <f>'12дОХР'!Q16/1000</f>
        <v>20986</v>
      </c>
      <c r="AC143" s="265">
        <v>0</v>
      </c>
      <c r="AD143" s="256">
        <f>'12дОХР'!R16/1000</f>
        <v>15809</v>
      </c>
      <c r="AE143" s="249">
        <v>0</v>
      </c>
      <c r="AF143" s="256">
        <f>'12дОХР'!T16/1000</f>
        <v>10925</v>
      </c>
      <c r="AG143" s="265">
        <v>0</v>
      </c>
      <c r="AH143" s="256">
        <f>'12дОХР'!U16/1000</f>
        <v>5460</v>
      </c>
      <c r="AI143" s="249">
        <v>0</v>
      </c>
      <c r="AJ143" s="256">
        <f>'[1]12дОХР'!Q16/1000</f>
        <v>28350</v>
      </c>
      <c r="AK143" s="265">
        <v>0</v>
      </c>
      <c r="AL143" s="256">
        <f>'[1]12дОХР'!R16/1000</f>
        <v>26357</v>
      </c>
      <c r="AM143" s="249">
        <v>0</v>
      </c>
    </row>
    <row r="144" spans="1:39" ht="60" customHeight="1" x14ac:dyDescent="0.25">
      <c r="A144" s="253" t="s">
        <v>110</v>
      </c>
      <c r="B144" s="25" t="s">
        <v>258</v>
      </c>
      <c r="C144" s="254" t="s">
        <v>11</v>
      </c>
      <c r="D144" s="259">
        <f>D140</f>
        <v>6814</v>
      </c>
      <c r="E144" s="254">
        <v>0</v>
      </c>
      <c r="F144" s="259">
        <f>F140</f>
        <v>6814</v>
      </c>
      <c r="G144" s="254">
        <v>0</v>
      </c>
      <c r="H144" s="254">
        <v>0</v>
      </c>
      <c r="I144" s="254">
        <v>0</v>
      </c>
      <c r="J144" s="254">
        <v>0</v>
      </c>
      <c r="K144" s="254">
        <v>0</v>
      </c>
      <c r="L144" s="256">
        <f>L140</f>
        <v>10833</v>
      </c>
      <c r="M144" s="254">
        <v>0</v>
      </c>
      <c r="N144" s="256">
        <f>N140</f>
        <v>7713</v>
      </c>
      <c r="O144" s="254">
        <v>0</v>
      </c>
      <c r="P144" s="309">
        <f>P140</f>
        <v>12279</v>
      </c>
      <c r="Q144" s="307">
        <v>0</v>
      </c>
      <c r="R144" s="309">
        <f>R140</f>
        <v>6981</v>
      </c>
      <c r="S144" s="305">
        <v>0</v>
      </c>
      <c r="T144" s="309">
        <f>T140</f>
        <v>25144</v>
      </c>
      <c r="U144" s="307">
        <v>0</v>
      </c>
      <c r="V144" s="309">
        <f>V140</f>
        <v>19980</v>
      </c>
      <c r="W144" s="305">
        <v>0</v>
      </c>
      <c r="X144" s="309">
        <f>X140</f>
        <v>25602</v>
      </c>
      <c r="Y144" s="307">
        <v>0</v>
      </c>
      <c r="Z144" s="309">
        <f>Z140</f>
        <v>20152</v>
      </c>
      <c r="AA144" s="305">
        <v>0</v>
      </c>
      <c r="AB144" s="256">
        <f>AB140</f>
        <v>25033</v>
      </c>
      <c r="AC144" s="254">
        <v>0</v>
      </c>
      <c r="AD144" s="256">
        <f>AD140</f>
        <v>19279</v>
      </c>
      <c r="AE144" s="258">
        <v>0</v>
      </c>
      <c r="AF144" s="256">
        <f>AF140</f>
        <v>12730</v>
      </c>
      <c r="AG144" s="254">
        <v>0</v>
      </c>
      <c r="AH144" s="256">
        <f>AH140</f>
        <v>6659</v>
      </c>
      <c r="AI144" s="258">
        <v>0</v>
      </c>
      <c r="AJ144" s="256">
        <f>AJ140</f>
        <v>31326</v>
      </c>
      <c r="AK144" s="254">
        <v>0</v>
      </c>
      <c r="AL144" s="256">
        <f>AL140</f>
        <v>29291</v>
      </c>
      <c r="AM144" s="258">
        <v>0</v>
      </c>
    </row>
    <row r="145" spans="1:50" s="17" customFormat="1" ht="11.25" customHeight="1" x14ac:dyDescent="0.25">
      <c r="A145" s="15" t="s">
        <v>111</v>
      </c>
      <c r="B145" s="19" t="s">
        <v>112</v>
      </c>
      <c r="C145" s="265" t="s">
        <v>26</v>
      </c>
      <c r="D145" s="160">
        <f>D143/D144</f>
        <v>1.26</v>
      </c>
      <c r="E145" s="265" t="s">
        <v>118</v>
      </c>
      <c r="F145" s="160">
        <f>F143/F144</f>
        <v>1.26</v>
      </c>
      <c r="G145" s="265" t="s">
        <v>118</v>
      </c>
      <c r="H145" s="265" t="s">
        <v>118</v>
      </c>
      <c r="I145" s="265" t="s">
        <v>118</v>
      </c>
      <c r="J145" s="265" t="s">
        <v>118</v>
      </c>
      <c r="K145" s="265" t="s">
        <v>118</v>
      </c>
      <c r="L145" s="161">
        <f>L143/L144</f>
        <v>0.91</v>
      </c>
      <c r="M145" s="265" t="s">
        <v>118</v>
      </c>
      <c r="N145" s="161">
        <f>N143/N144</f>
        <v>0.9</v>
      </c>
      <c r="O145" s="265" t="s">
        <v>118</v>
      </c>
      <c r="P145" s="161">
        <f>P143/P144</f>
        <v>0.99</v>
      </c>
      <c r="Q145" s="311" t="s">
        <v>118</v>
      </c>
      <c r="R145" s="161">
        <f>R143/R144</f>
        <v>0.9</v>
      </c>
      <c r="S145" s="310" t="s">
        <v>118</v>
      </c>
      <c r="T145" s="161">
        <f>T143/T144</f>
        <v>0.9</v>
      </c>
      <c r="U145" s="311" t="s">
        <v>118</v>
      </c>
      <c r="V145" s="161">
        <f>V143/V144</f>
        <v>0.9</v>
      </c>
      <c r="W145" s="310" t="s">
        <v>118</v>
      </c>
      <c r="X145" s="161">
        <f>X143/X144</f>
        <v>0.84</v>
      </c>
      <c r="Y145" s="311" t="s">
        <v>118</v>
      </c>
      <c r="Z145" s="161">
        <f>Z143/Z144</f>
        <v>0.82</v>
      </c>
      <c r="AA145" s="310" t="s">
        <v>118</v>
      </c>
      <c r="AB145" s="161">
        <f>AB143/AB144</f>
        <v>0.84</v>
      </c>
      <c r="AC145" s="265" t="s">
        <v>118</v>
      </c>
      <c r="AD145" s="161">
        <f>AD143/AD144</f>
        <v>0.82</v>
      </c>
      <c r="AE145" s="249" t="s">
        <v>118</v>
      </c>
      <c r="AF145" s="161">
        <f>AF143/AF144</f>
        <v>0.86</v>
      </c>
      <c r="AG145" s="265" t="s">
        <v>118</v>
      </c>
      <c r="AH145" s="161">
        <f>AH143/AH144</f>
        <v>0.82</v>
      </c>
      <c r="AI145" s="249" t="s">
        <v>118</v>
      </c>
      <c r="AJ145" s="161">
        <f>AJ143/AJ144</f>
        <v>0.9</v>
      </c>
      <c r="AK145" s="265" t="s">
        <v>118</v>
      </c>
      <c r="AL145" s="161">
        <f>AL143/AL144</f>
        <v>0.9</v>
      </c>
      <c r="AM145" s="249" t="s">
        <v>118</v>
      </c>
    </row>
    <row r="146" spans="1:50" ht="14.25" customHeight="1" x14ac:dyDescent="0.25">
      <c r="A146" s="482">
        <v>15</v>
      </c>
      <c r="B146" s="27" t="s">
        <v>113</v>
      </c>
      <c r="C146" s="484" t="s">
        <v>26</v>
      </c>
      <c r="D146" s="480" t="s">
        <v>118</v>
      </c>
      <c r="E146" s="480" t="s">
        <v>118</v>
      </c>
      <c r="F146" s="480" t="s">
        <v>118</v>
      </c>
      <c r="G146" s="480" t="s">
        <v>118</v>
      </c>
      <c r="H146" s="480" t="s">
        <v>118</v>
      </c>
      <c r="I146" s="480" t="s">
        <v>118</v>
      </c>
      <c r="J146" s="480" t="s">
        <v>118</v>
      </c>
      <c r="K146" s="480" t="s">
        <v>118</v>
      </c>
      <c r="L146" s="481" t="s">
        <v>118</v>
      </c>
      <c r="M146" s="480" t="s">
        <v>118</v>
      </c>
      <c r="N146" s="481" t="s">
        <v>118</v>
      </c>
      <c r="O146" s="480" t="s">
        <v>118</v>
      </c>
      <c r="P146" s="479" t="s">
        <v>118</v>
      </c>
      <c r="Q146" s="480" t="s">
        <v>118</v>
      </c>
      <c r="R146" s="479" t="s">
        <v>118</v>
      </c>
      <c r="S146" s="478" t="s">
        <v>118</v>
      </c>
      <c r="T146" s="479" t="s">
        <v>118</v>
      </c>
      <c r="U146" s="480" t="s">
        <v>118</v>
      </c>
      <c r="V146" s="479" t="s">
        <v>118</v>
      </c>
      <c r="W146" s="478" t="s">
        <v>118</v>
      </c>
      <c r="X146" s="479" t="s">
        <v>118</v>
      </c>
      <c r="Y146" s="480" t="s">
        <v>118</v>
      </c>
      <c r="Z146" s="479" t="s">
        <v>118</v>
      </c>
      <c r="AA146" s="478" t="s">
        <v>118</v>
      </c>
      <c r="AB146" s="479" t="s">
        <v>118</v>
      </c>
      <c r="AC146" s="480" t="s">
        <v>118</v>
      </c>
      <c r="AD146" s="479" t="s">
        <v>118</v>
      </c>
      <c r="AE146" s="478" t="s">
        <v>118</v>
      </c>
      <c r="AF146" s="479" t="s">
        <v>118</v>
      </c>
      <c r="AG146" s="480" t="s">
        <v>118</v>
      </c>
      <c r="AH146" s="479" t="s">
        <v>118</v>
      </c>
      <c r="AI146" s="478" t="s">
        <v>118</v>
      </c>
      <c r="AJ146" s="479" t="s">
        <v>118</v>
      </c>
      <c r="AK146" s="480" t="s">
        <v>118</v>
      </c>
      <c r="AL146" s="479" t="s">
        <v>118</v>
      </c>
      <c r="AM146" s="478" t="s">
        <v>118</v>
      </c>
    </row>
    <row r="147" spans="1:50" ht="11.25" customHeight="1" x14ac:dyDescent="0.25">
      <c r="A147" s="483"/>
      <c r="B147" s="14" t="s">
        <v>108</v>
      </c>
      <c r="C147" s="485"/>
      <c r="D147" s="480"/>
      <c r="E147" s="480"/>
      <c r="F147" s="480"/>
      <c r="G147" s="480"/>
      <c r="H147" s="480"/>
      <c r="I147" s="480"/>
      <c r="J147" s="480"/>
      <c r="K147" s="480"/>
      <c r="L147" s="481"/>
      <c r="M147" s="480"/>
      <c r="N147" s="481"/>
      <c r="O147" s="480"/>
      <c r="P147" s="479"/>
      <c r="Q147" s="480"/>
      <c r="R147" s="479"/>
      <c r="S147" s="478"/>
      <c r="T147" s="479"/>
      <c r="U147" s="480"/>
      <c r="V147" s="479"/>
      <c r="W147" s="478"/>
      <c r="X147" s="479"/>
      <c r="Y147" s="480"/>
      <c r="Z147" s="479"/>
      <c r="AA147" s="478"/>
      <c r="AB147" s="479"/>
      <c r="AC147" s="480"/>
      <c r="AD147" s="479"/>
      <c r="AE147" s="478"/>
      <c r="AF147" s="479"/>
      <c r="AG147" s="480"/>
      <c r="AH147" s="479"/>
      <c r="AI147" s="478"/>
      <c r="AJ147" s="479"/>
      <c r="AK147" s="480"/>
      <c r="AL147" s="479"/>
      <c r="AM147" s="478"/>
    </row>
    <row r="148" spans="1:50" ht="13.5" customHeight="1" x14ac:dyDescent="0.25">
      <c r="A148" s="15">
        <v>16</v>
      </c>
      <c r="B148" s="26" t="s">
        <v>114</v>
      </c>
      <c r="C148" s="265" t="s">
        <v>26</v>
      </c>
      <c r="D148" s="265" t="s">
        <v>118</v>
      </c>
      <c r="E148" s="265" t="s">
        <v>118</v>
      </c>
      <c r="F148" s="265" t="s">
        <v>118</v>
      </c>
      <c r="G148" s="265" t="s">
        <v>118</v>
      </c>
      <c r="H148" s="265" t="s">
        <v>118</v>
      </c>
      <c r="I148" s="265" t="s">
        <v>118</v>
      </c>
      <c r="J148" s="265" t="s">
        <v>118</v>
      </c>
      <c r="K148" s="265" t="s">
        <v>118</v>
      </c>
      <c r="L148" s="249" t="s">
        <v>118</v>
      </c>
      <c r="M148" s="265" t="s">
        <v>118</v>
      </c>
      <c r="N148" s="249" t="s">
        <v>118</v>
      </c>
      <c r="O148" s="265" t="s">
        <v>118</v>
      </c>
      <c r="P148" s="44" t="s">
        <v>118</v>
      </c>
      <c r="Q148" s="311" t="s">
        <v>118</v>
      </c>
      <c r="R148" s="44" t="s">
        <v>118</v>
      </c>
      <c r="S148" s="310" t="s">
        <v>118</v>
      </c>
      <c r="T148" s="44" t="s">
        <v>118</v>
      </c>
      <c r="U148" s="311" t="s">
        <v>118</v>
      </c>
      <c r="V148" s="44" t="s">
        <v>118</v>
      </c>
      <c r="W148" s="310" t="s">
        <v>118</v>
      </c>
      <c r="X148" s="44" t="s">
        <v>118</v>
      </c>
      <c r="Y148" s="311" t="s">
        <v>118</v>
      </c>
      <c r="Z148" s="44" t="s">
        <v>118</v>
      </c>
      <c r="AA148" s="310" t="s">
        <v>118</v>
      </c>
      <c r="AB148" s="44" t="s">
        <v>118</v>
      </c>
      <c r="AC148" s="265" t="s">
        <v>118</v>
      </c>
      <c r="AD148" s="44" t="s">
        <v>118</v>
      </c>
      <c r="AE148" s="249" t="s">
        <v>118</v>
      </c>
      <c r="AF148" s="44" t="s">
        <v>118</v>
      </c>
      <c r="AG148" s="265" t="s">
        <v>118</v>
      </c>
      <c r="AH148" s="44" t="s">
        <v>118</v>
      </c>
      <c r="AI148" s="249" t="s">
        <v>118</v>
      </c>
      <c r="AJ148" s="44" t="s">
        <v>118</v>
      </c>
      <c r="AK148" s="265" t="s">
        <v>118</v>
      </c>
      <c r="AL148" s="44" t="s">
        <v>118</v>
      </c>
      <c r="AM148" s="249" t="s">
        <v>118</v>
      </c>
    </row>
    <row r="149" spans="1:50" ht="24" customHeight="1" x14ac:dyDescent="0.25"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1:50" ht="29.4" customHeight="1" x14ac:dyDescent="0.25">
      <c r="A150" s="28"/>
      <c r="B150" s="29"/>
      <c r="C150" s="29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  <c r="AL150" s="28"/>
      <c r="AM150" s="28"/>
    </row>
    <row r="151" spans="1:50" ht="58.2" customHeight="1" x14ac:dyDescent="0.25">
      <c r="A151" s="30"/>
      <c r="B151" s="413" t="s">
        <v>372</v>
      </c>
      <c r="C151" s="413"/>
      <c r="P151" s="3"/>
      <c r="Q151" s="3"/>
      <c r="R151" s="30"/>
      <c r="S151" s="3"/>
      <c r="T151" s="3"/>
      <c r="U151" s="3"/>
      <c r="V151" s="30"/>
      <c r="W151" s="3"/>
      <c r="X151" s="3"/>
      <c r="Y151" s="3"/>
      <c r="Z151" s="30"/>
      <c r="AA151" s="3"/>
      <c r="AB151" s="3"/>
      <c r="AC151" s="3"/>
      <c r="AD151" s="30"/>
      <c r="AE151" s="413" t="s">
        <v>367</v>
      </c>
      <c r="AF151" s="413"/>
      <c r="AG151" s="413"/>
      <c r="AH151" s="413"/>
      <c r="AI151" s="413"/>
      <c r="AJ151" s="247"/>
      <c r="AK151" s="247"/>
      <c r="AP151" s="31"/>
      <c r="AQ151" s="31"/>
      <c r="AR151" s="31"/>
      <c r="AS151" s="31"/>
      <c r="AT151" s="31"/>
      <c r="AU151" s="31"/>
      <c r="AV151" s="31"/>
      <c r="AW151" s="31"/>
      <c r="AX151" s="31"/>
    </row>
    <row r="152" spans="1:50" ht="36" customHeight="1" x14ac:dyDescent="0.35">
      <c r="A152" s="34"/>
      <c r="B152" s="200" t="s">
        <v>373</v>
      </c>
      <c r="C152" s="192"/>
      <c r="P152" s="3"/>
      <c r="Q152" s="3"/>
      <c r="R152" s="146"/>
      <c r="S152" s="354"/>
      <c r="T152" s="3"/>
      <c r="U152" s="3"/>
      <c r="V152" s="146"/>
      <c r="W152" s="354"/>
      <c r="X152" s="38"/>
      <c r="Y152" s="38"/>
      <c r="Z152" s="304"/>
      <c r="AA152" s="354"/>
      <c r="AB152" s="3"/>
      <c r="AC152" s="3"/>
      <c r="AD152" s="146"/>
      <c r="AE152" s="248"/>
      <c r="AF152" s="248"/>
      <c r="AG152" s="248"/>
      <c r="AH152" s="192" t="s">
        <v>234</v>
      </c>
      <c r="AI152" s="193"/>
      <c r="AP152" s="31"/>
      <c r="AQ152" s="31"/>
      <c r="AR152" s="31"/>
      <c r="AS152" s="31"/>
      <c r="AT152" s="31"/>
      <c r="AU152" s="31"/>
      <c r="AV152" s="31"/>
      <c r="AW152" s="31"/>
      <c r="AX152" s="31"/>
    </row>
    <row r="153" spans="1:50" ht="18" x14ac:dyDescent="0.35">
      <c r="A153" s="34"/>
      <c r="B153" s="194"/>
      <c r="C153" s="195"/>
      <c r="P153" s="3"/>
      <c r="Q153" s="3"/>
      <c r="R153" s="31"/>
      <c r="S153" s="194"/>
      <c r="T153" s="3"/>
      <c r="U153" s="3"/>
      <c r="V153" s="31"/>
      <c r="W153" s="194"/>
      <c r="X153" s="3"/>
      <c r="Y153" s="3"/>
      <c r="Z153" s="31"/>
      <c r="AA153" s="194"/>
      <c r="AB153" s="3"/>
      <c r="AC153" s="3"/>
      <c r="AD153" s="31"/>
      <c r="AE153" s="194"/>
      <c r="AF153" s="195"/>
      <c r="AG153" s="196"/>
      <c r="AH153" s="196"/>
      <c r="AI153" s="193"/>
      <c r="AP153" s="31"/>
      <c r="AQ153" s="31"/>
      <c r="AR153" s="31"/>
      <c r="AS153" s="31"/>
      <c r="AT153" s="31"/>
      <c r="AU153" s="31"/>
      <c r="AV153" s="31"/>
      <c r="AW153" s="31"/>
      <c r="AX153" s="31"/>
    </row>
    <row r="154" spans="1:50" s="37" customFormat="1" ht="18" customHeight="1" x14ac:dyDescent="0.35">
      <c r="A154" s="35"/>
      <c r="B154" s="197" t="s">
        <v>232</v>
      </c>
      <c r="C154" s="197"/>
      <c r="R154" s="31"/>
      <c r="S154" s="197"/>
      <c r="V154" s="31"/>
      <c r="W154" s="197"/>
      <c r="Z154" s="31"/>
      <c r="AA154" s="197"/>
      <c r="AD154" s="31"/>
      <c r="AE154" s="197" t="s">
        <v>232</v>
      </c>
      <c r="AF154" s="197"/>
      <c r="AG154" s="198"/>
      <c r="AH154" s="198"/>
      <c r="AI154" s="198"/>
      <c r="AP154" s="31"/>
      <c r="AQ154" s="31"/>
      <c r="AR154" s="31"/>
      <c r="AS154" s="31"/>
      <c r="AT154" s="31"/>
      <c r="AU154" s="31"/>
      <c r="AV154" s="31"/>
      <c r="AW154" s="31"/>
      <c r="AX154" s="31"/>
    </row>
    <row r="155" spans="1:50" ht="13.5" customHeight="1" x14ac:dyDescent="0.35">
      <c r="A155" s="38"/>
      <c r="B155" s="32"/>
      <c r="C155" s="32"/>
      <c r="D155" s="38"/>
      <c r="E155" s="38"/>
      <c r="I155" s="31"/>
      <c r="J155" s="31"/>
      <c r="K155" s="31"/>
      <c r="L155" s="31"/>
      <c r="M155" s="199"/>
      <c r="N155" s="199"/>
      <c r="O155" s="199"/>
      <c r="P155" s="199"/>
      <c r="Q155" s="199"/>
      <c r="R155" s="31"/>
      <c r="S155" s="31"/>
      <c r="T155" s="199"/>
      <c r="U155" s="199"/>
      <c r="V155" s="31"/>
      <c r="W155" s="31"/>
      <c r="X155" s="199"/>
      <c r="Y155" s="199"/>
      <c r="Z155" s="31"/>
      <c r="AA155" s="31"/>
      <c r="AB155" s="199"/>
      <c r="AC155" s="199"/>
      <c r="AD155" s="31"/>
      <c r="AE155" s="31"/>
      <c r="AF155" s="199"/>
      <c r="AG155" s="199"/>
      <c r="AH155" s="31"/>
      <c r="AI155" s="31"/>
      <c r="AJ155" s="199"/>
      <c r="AK155" s="199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</row>
    <row r="156" spans="1:50" ht="22.5" customHeight="1" x14ac:dyDescent="0.25">
      <c r="A156" s="475" t="s">
        <v>115</v>
      </c>
      <c r="B156" s="475"/>
      <c r="C156" s="475"/>
      <c r="D156" s="475"/>
      <c r="E156" s="475"/>
      <c r="F156" s="475"/>
      <c r="G156" s="475"/>
      <c r="H156" s="475"/>
      <c r="I156" s="475"/>
      <c r="J156" s="475"/>
      <c r="K156" s="475"/>
      <c r="L156" s="475"/>
      <c r="M156" s="475"/>
      <c r="N156" s="475"/>
      <c r="O156" s="475"/>
      <c r="P156" s="475"/>
      <c r="Q156" s="475"/>
      <c r="R156" s="475"/>
      <c r="S156" s="475"/>
      <c r="T156" s="475"/>
      <c r="U156" s="475"/>
      <c r="V156" s="475"/>
      <c r="W156" s="475"/>
      <c r="X156" s="475"/>
      <c r="Y156" s="475"/>
      <c r="Z156" s="475"/>
      <c r="AA156" s="475"/>
      <c r="AB156" s="475"/>
      <c r="AC156" s="475"/>
      <c r="AD156" s="475"/>
      <c r="AE156" s="475"/>
      <c r="AF156" s="475"/>
      <c r="AG156" s="475"/>
      <c r="AH156" s="475"/>
      <c r="AI156" s="475"/>
      <c r="AJ156" s="475"/>
      <c r="AK156" s="475"/>
      <c r="AL156" s="475"/>
      <c r="AM156" s="475"/>
    </row>
    <row r="157" spans="1:50" ht="26.25" customHeight="1" x14ac:dyDescent="0.25">
      <c r="A157" s="38"/>
      <c r="B157" s="476" t="s">
        <v>226</v>
      </c>
      <c r="C157" s="477"/>
      <c r="D157" s="477"/>
      <c r="E157" s="477"/>
      <c r="F157" s="477"/>
      <c r="G157" s="477"/>
      <c r="H157" s="477"/>
      <c r="I157" s="477"/>
      <c r="J157" s="477"/>
      <c r="K157" s="477"/>
      <c r="L157" s="477"/>
      <c r="M157" s="477"/>
      <c r="N157" s="477"/>
      <c r="O157" s="477"/>
      <c r="P157" s="477"/>
      <c r="Q157" s="477"/>
      <c r="R157" s="477"/>
      <c r="S157" s="477"/>
      <c r="T157" s="477"/>
      <c r="U157" s="477"/>
      <c r="V157" s="477"/>
      <c r="W157" s="477"/>
      <c r="X157" s="477"/>
      <c r="Y157" s="477"/>
      <c r="Z157" s="477"/>
      <c r="AA157" s="477"/>
      <c r="AB157" s="477"/>
      <c r="AC157" s="477"/>
      <c r="AD157" s="477"/>
      <c r="AE157" s="477"/>
      <c r="AF157" s="477"/>
      <c r="AG157" s="477"/>
      <c r="AH157" s="477"/>
      <c r="AI157" s="477"/>
      <c r="AJ157" s="477"/>
      <c r="AK157" s="477"/>
      <c r="AL157" s="477"/>
      <c r="AM157" s="477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</row>
    <row r="158" spans="1:50" x14ac:dyDescent="0.25">
      <c r="A158" s="38"/>
      <c r="B158" s="246"/>
      <c r="C158" s="32"/>
      <c r="D158" s="40"/>
      <c r="E158" s="40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</row>
    <row r="159" spans="1:50" x14ac:dyDescent="0.25">
      <c r="A159" s="38"/>
      <c r="B159" s="36"/>
      <c r="C159" s="32"/>
      <c r="D159" s="38"/>
      <c r="E159" s="38"/>
    </row>
    <row r="160" spans="1:50" s="37" customFormat="1" ht="12.75" customHeight="1" x14ac:dyDescent="0.3">
      <c r="A160" s="41"/>
      <c r="B160" s="7"/>
      <c r="C160" s="42"/>
      <c r="D160" s="41"/>
      <c r="E160" s="41"/>
      <c r="P160" s="238"/>
      <c r="Q160" s="238"/>
      <c r="R160" s="238"/>
      <c r="S160" s="238"/>
      <c r="T160" s="238"/>
      <c r="U160" s="238"/>
      <c r="V160" s="238"/>
      <c r="W160" s="238"/>
      <c r="X160" s="238"/>
      <c r="Y160" s="238"/>
      <c r="Z160" s="238"/>
      <c r="AA160" s="238"/>
      <c r="AB160" s="238"/>
      <c r="AC160" s="238"/>
      <c r="AD160" s="238"/>
      <c r="AE160" s="238"/>
      <c r="AF160" s="238"/>
      <c r="AG160" s="238"/>
      <c r="AH160" s="238"/>
      <c r="AI160" s="238"/>
    </row>
    <row r="161" ht="3" customHeight="1" x14ac:dyDescent="0.25"/>
  </sheetData>
  <mergeCells count="1539">
    <mergeCell ref="S130:S132"/>
    <mergeCell ref="P137:P138"/>
    <mergeCell ref="Q137:Q138"/>
    <mergeCell ref="R137:R138"/>
    <mergeCell ref="S137:S138"/>
    <mergeCell ref="P141:P142"/>
    <mergeCell ref="Q141:Q142"/>
    <mergeCell ref="R141:R142"/>
    <mergeCell ref="S141:S142"/>
    <mergeCell ref="P146:P147"/>
    <mergeCell ref="Q146:Q147"/>
    <mergeCell ref="R146:R147"/>
    <mergeCell ref="S146:S147"/>
    <mergeCell ref="S118:S119"/>
    <mergeCell ref="P120:P121"/>
    <mergeCell ref="Q120:Q121"/>
    <mergeCell ref="R120:R121"/>
    <mergeCell ref="S120:S121"/>
    <mergeCell ref="P122:P123"/>
    <mergeCell ref="Q122:Q123"/>
    <mergeCell ref="R122:R123"/>
    <mergeCell ref="S122:S123"/>
    <mergeCell ref="P125:P126"/>
    <mergeCell ref="Q125:Q126"/>
    <mergeCell ref="R125:R126"/>
    <mergeCell ref="S125:S126"/>
    <mergeCell ref="P127:P128"/>
    <mergeCell ref="Q127:Q128"/>
    <mergeCell ref="R127:R128"/>
    <mergeCell ref="S127:S128"/>
    <mergeCell ref="P100:P101"/>
    <mergeCell ref="Q100:Q101"/>
    <mergeCell ref="R100:R101"/>
    <mergeCell ref="S100:S101"/>
    <mergeCell ref="P102:P103"/>
    <mergeCell ref="Q102:Q103"/>
    <mergeCell ref="R102:R103"/>
    <mergeCell ref="S102:S103"/>
    <mergeCell ref="P105:P107"/>
    <mergeCell ref="Q105:Q107"/>
    <mergeCell ref="R105:R107"/>
    <mergeCell ref="S105:S107"/>
    <mergeCell ref="P110:P111"/>
    <mergeCell ref="Q110:Q111"/>
    <mergeCell ref="R110:R111"/>
    <mergeCell ref="S110:S111"/>
    <mergeCell ref="P112:P113"/>
    <mergeCell ref="Q112:Q113"/>
    <mergeCell ref="R112:R113"/>
    <mergeCell ref="S112:S113"/>
    <mergeCell ref="P81:P83"/>
    <mergeCell ref="Q81:Q83"/>
    <mergeCell ref="R81:R83"/>
    <mergeCell ref="S81:S83"/>
    <mergeCell ref="P84:P85"/>
    <mergeCell ref="Q84:Q85"/>
    <mergeCell ref="R84:R85"/>
    <mergeCell ref="S84:S85"/>
    <mergeCell ref="P87:P88"/>
    <mergeCell ref="Q87:Q88"/>
    <mergeCell ref="R87:R88"/>
    <mergeCell ref="S87:S88"/>
    <mergeCell ref="P93:P94"/>
    <mergeCell ref="Q93:Q94"/>
    <mergeCell ref="R93:R94"/>
    <mergeCell ref="S93:S94"/>
    <mergeCell ref="P95:P96"/>
    <mergeCell ref="Q95:Q96"/>
    <mergeCell ref="R95:R96"/>
    <mergeCell ref="S95:S96"/>
    <mergeCell ref="P66:P67"/>
    <mergeCell ref="Q66:Q67"/>
    <mergeCell ref="R66:R67"/>
    <mergeCell ref="S66:S67"/>
    <mergeCell ref="P69:P70"/>
    <mergeCell ref="Q69:Q70"/>
    <mergeCell ref="R69:R70"/>
    <mergeCell ref="S69:S70"/>
    <mergeCell ref="P73:P74"/>
    <mergeCell ref="Q73:Q74"/>
    <mergeCell ref="R73:R74"/>
    <mergeCell ref="S73:S74"/>
    <mergeCell ref="P75:P77"/>
    <mergeCell ref="Q75:Q77"/>
    <mergeCell ref="R75:R77"/>
    <mergeCell ref="S75:S77"/>
    <mergeCell ref="P78:P79"/>
    <mergeCell ref="Q78:Q79"/>
    <mergeCell ref="R78:R79"/>
    <mergeCell ref="S78:S79"/>
    <mergeCell ref="P45:P46"/>
    <mergeCell ref="Q45:Q46"/>
    <mergeCell ref="R45:R46"/>
    <mergeCell ref="S45:S46"/>
    <mergeCell ref="P49:P50"/>
    <mergeCell ref="Q49:Q50"/>
    <mergeCell ref="R49:R50"/>
    <mergeCell ref="S49:S50"/>
    <mergeCell ref="P53:P54"/>
    <mergeCell ref="Q53:Q54"/>
    <mergeCell ref="R53:R54"/>
    <mergeCell ref="S53:S54"/>
    <mergeCell ref="P58:P59"/>
    <mergeCell ref="Q58:Q59"/>
    <mergeCell ref="R58:R59"/>
    <mergeCell ref="S58:S59"/>
    <mergeCell ref="P60:P61"/>
    <mergeCell ref="Q60:Q61"/>
    <mergeCell ref="R60:R61"/>
    <mergeCell ref="S60:S61"/>
    <mergeCell ref="P31:P32"/>
    <mergeCell ref="Q31:Q32"/>
    <mergeCell ref="R31:R32"/>
    <mergeCell ref="S31:S32"/>
    <mergeCell ref="P33:P34"/>
    <mergeCell ref="Q33:Q34"/>
    <mergeCell ref="R33:R34"/>
    <mergeCell ref="S33:S34"/>
    <mergeCell ref="P38:P39"/>
    <mergeCell ref="Q38:Q39"/>
    <mergeCell ref="R38:R39"/>
    <mergeCell ref="S38:S39"/>
    <mergeCell ref="P41:P42"/>
    <mergeCell ref="Q41:Q42"/>
    <mergeCell ref="R41:R42"/>
    <mergeCell ref="S41:S42"/>
    <mergeCell ref="P43:P44"/>
    <mergeCell ref="Q43:Q44"/>
    <mergeCell ref="R43:R44"/>
    <mergeCell ref="S43:S44"/>
    <mergeCell ref="R1:S1"/>
    <mergeCell ref="P7:S7"/>
    <mergeCell ref="P8:Q8"/>
    <mergeCell ref="R8:S8"/>
    <mergeCell ref="P11:P12"/>
    <mergeCell ref="Q11:Q12"/>
    <mergeCell ref="R11:R12"/>
    <mergeCell ref="S11:S12"/>
    <mergeCell ref="P13:P14"/>
    <mergeCell ref="Q13:Q14"/>
    <mergeCell ref="R13:R14"/>
    <mergeCell ref="S13:S14"/>
    <mergeCell ref="P26:P27"/>
    <mergeCell ref="Q26:Q27"/>
    <mergeCell ref="R26:R27"/>
    <mergeCell ref="S26:S27"/>
    <mergeCell ref="P29:P30"/>
    <mergeCell ref="Q29:Q30"/>
    <mergeCell ref="R29:R30"/>
    <mergeCell ref="S29:S30"/>
    <mergeCell ref="Y122:Y123"/>
    <mergeCell ref="Z122:Z123"/>
    <mergeCell ref="AA122:AA123"/>
    <mergeCell ref="X125:X126"/>
    <mergeCell ref="Y125:Y126"/>
    <mergeCell ref="Z125:Z126"/>
    <mergeCell ref="AA125:AA126"/>
    <mergeCell ref="X127:X128"/>
    <mergeCell ref="Y127:Y128"/>
    <mergeCell ref="Z127:Z128"/>
    <mergeCell ref="AA127:AA128"/>
    <mergeCell ref="X130:X132"/>
    <mergeCell ref="Y130:Y132"/>
    <mergeCell ref="Z130:Z132"/>
    <mergeCell ref="AA130:AA132"/>
    <mergeCell ref="X137:X138"/>
    <mergeCell ref="Y137:Y138"/>
    <mergeCell ref="Z137:Z138"/>
    <mergeCell ref="AA137:AA138"/>
    <mergeCell ref="AA102:AA103"/>
    <mergeCell ref="X105:X107"/>
    <mergeCell ref="Y105:Y107"/>
    <mergeCell ref="Z105:Z107"/>
    <mergeCell ref="AA105:AA107"/>
    <mergeCell ref="X110:X111"/>
    <mergeCell ref="Y110:Y111"/>
    <mergeCell ref="Z110:Z111"/>
    <mergeCell ref="AA110:AA111"/>
    <mergeCell ref="X112:X113"/>
    <mergeCell ref="Y112:Y113"/>
    <mergeCell ref="Z112:Z113"/>
    <mergeCell ref="AA112:AA113"/>
    <mergeCell ref="X118:X119"/>
    <mergeCell ref="Y118:Y119"/>
    <mergeCell ref="Z118:Z119"/>
    <mergeCell ref="AA118:AA119"/>
    <mergeCell ref="X84:X85"/>
    <mergeCell ref="Y84:Y85"/>
    <mergeCell ref="Z84:Z85"/>
    <mergeCell ref="AA84:AA85"/>
    <mergeCell ref="X87:X88"/>
    <mergeCell ref="Y87:Y88"/>
    <mergeCell ref="Z87:Z88"/>
    <mergeCell ref="AA87:AA88"/>
    <mergeCell ref="X93:X94"/>
    <mergeCell ref="Y93:Y94"/>
    <mergeCell ref="Z93:Z94"/>
    <mergeCell ref="AA93:AA94"/>
    <mergeCell ref="X95:X96"/>
    <mergeCell ref="Y95:Y96"/>
    <mergeCell ref="Z95:Z96"/>
    <mergeCell ref="AA95:AA96"/>
    <mergeCell ref="X97:X98"/>
    <mergeCell ref="Y97:Y98"/>
    <mergeCell ref="Z97:Z98"/>
    <mergeCell ref="AA97:AA98"/>
    <mergeCell ref="AA69:AA70"/>
    <mergeCell ref="X73:X74"/>
    <mergeCell ref="Y73:Y74"/>
    <mergeCell ref="Z73:Z74"/>
    <mergeCell ref="AA73:AA74"/>
    <mergeCell ref="X75:X77"/>
    <mergeCell ref="Y75:Y77"/>
    <mergeCell ref="Z75:Z77"/>
    <mergeCell ref="AA75:AA77"/>
    <mergeCell ref="X78:X79"/>
    <mergeCell ref="Y78:Y79"/>
    <mergeCell ref="Z78:Z79"/>
    <mergeCell ref="AA78:AA79"/>
    <mergeCell ref="X81:X83"/>
    <mergeCell ref="Y81:Y83"/>
    <mergeCell ref="Z81:Z83"/>
    <mergeCell ref="AA81:AA83"/>
    <mergeCell ref="AA45:AA46"/>
    <mergeCell ref="X49:X50"/>
    <mergeCell ref="Y49:Y50"/>
    <mergeCell ref="Z49:Z50"/>
    <mergeCell ref="AA49:AA50"/>
    <mergeCell ref="X53:X54"/>
    <mergeCell ref="Y53:Y54"/>
    <mergeCell ref="Z53:Z54"/>
    <mergeCell ref="AA53:AA54"/>
    <mergeCell ref="X58:X59"/>
    <mergeCell ref="Y58:Y59"/>
    <mergeCell ref="Z58:Z59"/>
    <mergeCell ref="AA58:AA59"/>
    <mergeCell ref="X60:X61"/>
    <mergeCell ref="Y60:Y61"/>
    <mergeCell ref="Z60:Z61"/>
    <mergeCell ref="AA60:AA61"/>
    <mergeCell ref="AA31:AA32"/>
    <mergeCell ref="X33:X34"/>
    <mergeCell ref="Y33:Y34"/>
    <mergeCell ref="Z33:Z34"/>
    <mergeCell ref="AA33:AA34"/>
    <mergeCell ref="X38:X39"/>
    <mergeCell ref="Y38:Y39"/>
    <mergeCell ref="Z38:Z39"/>
    <mergeCell ref="AA38:AA39"/>
    <mergeCell ref="X41:X42"/>
    <mergeCell ref="Y41:Y42"/>
    <mergeCell ref="Z41:Z42"/>
    <mergeCell ref="AA41:AA42"/>
    <mergeCell ref="X43:X44"/>
    <mergeCell ref="Y43:Y44"/>
    <mergeCell ref="Z43:Z44"/>
    <mergeCell ref="AA43:AA44"/>
    <mergeCell ref="Z1:AA1"/>
    <mergeCell ref="X7:AA7"/>
    <mergeCell ref="X8:Y8"/>
    <mergeCell ref="Z8:AA8"/>
    <mergeCell ref="X11:X12"/>
    <mergeCell ref="Y11:Y12"/>
    <mergeCell ref="Z11:Z12"/>
    <mergeCell ref="AA11:AA12"/>
    <mergeCell ref="X13:X14"/>
    <mergeCell ref="Y13:Y14"/>
    <mergeCell ref="Z13:Z14"/>
    <mergeCell ref="AA13:AA14"/>
    <mergeCell ref="X26:X27"/>
    <mergeCell ref="Y26:Y27"/>
    <mergeCell ref="Z26:Z27"/>
    <mergeCell ref="AA26:AA27"/>
    <mergeCell ref="X29:X30"/>
    <mergeCell ref="Y29:Y30"/>
    <mergeCell ref="Z29:Z30"/>
    <mergeCell ref="AA29:AA30"/>
    <mergeCell ref="W84:W85"/>
    <mergeCell ref="T87:T88"/>
    <mergeCell ref="U87:U88"/>
    <mergeCell ref="V87:V88"/>
    <mergeCell ref="W87:W88"/>
    <mergeCell ref="T93:T94"/>
    <mergeCell ref="U93:U94"/>
    <mergeCell ref="V93:V94"/>
    <mergeCell ref="W93:W94"/>
    <mergeCell ref="T95:T96"/>
    <mergeCell ref="U95:U96"/>
    <mergeCell ref="V95:V96"/>
    <mergeCell ref="W95:W96"/>
    <mergeCell ref="T97:T98"/>
    <mergeCell ref="U97:U98"/>
    <mergeCell ref="V97:V98"/>
    <mergeCell ref="W97:W98"/>
    <mergeCell ref="U58:U59"/>
    <mergeCell ref="V58:V59"/>
    <mergeCell ref="W58:W59"/>
    <mergeCell ref="T60:T61"/>
    <mergeCell ref="U60:U61"/>
    <mergeCell ref="V60:V61"/>
    <mergeCell ref="W60:W61"/>
    <mergeCell ref="T64:T65"/>
    <mergeCell ref="U64:U65"/>
    <mergeCell ref="V64:V65"/>
    <mergeCell ref="W64:W65"/>
    <mergeCell ref="T66:T67"/>
    <mergeCell ref="U66:U67"/>
    <mergeCell ref="V66:V67"/>
    <mergeCell ref="W66:W67"/>
    <mergeCell ref="T69:T70"/>
    <mergeCell ref="U69:U70"/>
    <mergeCell ref="V69:V70"/>
    <mergeCell ref="W69:W70"/>
    <mergeCell ref="V1:W1"/>
    <mergeCell ref="T7:W7"/>
    <mergeCell ref="T8:U8"/>
    <mergeCell ref="V8:W8"/>
    <mergeCell ref="T11:T12"/>
    <mergeCell ref="U11:U12"/>
    <mergeCell ref="V11:V12"/>
    <mergeCell ref="W11:W12"/>
    <mergeCell ref="T13:T14"/>
    <mergeCell ref="U13:U14"/>
    <mergeCell ref="V13:V14"/>
    <mergeCell ref="W13:W14"/>
    <mergeCell ref="T26:T27"/>
    <mergeCell ref="U26:U27"/>
    <mergeCell ref="V26:V27"/>
    <mergeCell ref="W26:W27"/>
    <mergeCell ref="T29:T30"/>
    <mergeCell ref="U29:U30"/>
    <mergeCell ref="V29:V30"/>
    <mergeCell ref="W29:W30"/>
    <mergeCell ref="AM11:AM12"/>
    <mergeCell ref="AK13:AK14"/>
    <mergeCell ref="AL13:AL14"/>
    <mergeCell ref="AD1:AE1"/>
    <mergeCell ref="AH1:AI1"/>
    <mergeCell ref="A3:AM3"/>
    <mergeCell ref="C4:AF4"/>
    <mergeCell ref="C5:AF5"/>
    <mergeCell ref="A7:A9"/>
    <mergeCell ref="B7:B9"/>
    <mergeCell ref="C7:C9"/>
    <mergeCell ref="D7:K7"/>
    <mergeCell ref="L7:O7"/>
    <mergeCell ref="AH8:AI8"/>
    <mergeCell ref="AJ8:AK8"/>
    <mergeCell ref="AL8:AM8"/>
    <mergeCell ref="A11:A12"/>
    <mergeCell ref="C11:C12"/>
    <mergeCell ref="D11:D12"/>
    <mergeCell ref="E11:E12"/>
    <mergeCell ref="F11:F12"/>
    <mergeCell ref="G11:G12"/>
    <mergeCell ref="H11:H12"/>
    <mergeCell ref="AB7:AE7"/>
    <mergeCell ref="AF7:AI7"/>
    <mergeCell ref="AJ7:AM7"/>
    <mergeCell ref="D8:G8"/>
    <mergeCell ref="H8:K8"/>
    <mergeCell ref="L8:M8"/>
    <mergeCell ref="N8:O8"/>
    <mergeCell ref="AB8:AC8"/>
    <mergeCell ref="AD8:AE8"/>
    <mergeCell ref="AF8:AG8"/>
    <mergeCell ref="AG11:AG12"/>
    <mergeCell ref="AH11:AH12"/>
    <mergeCell ref="AI11:AI12"/>
    <mergeCell ref="AJ11:AJ12"/>
    <mergeCell ref="AK11:AK12"/>
    <mergeCell ref="AL11:AL12"/>
    <mergeCell ref="O11:O12"/>
    <mergeCell ref="AB11:AB12"/>
    <mergeCell ref="AC11:AC12"/>
    <mergeCell ref="AD11:AD12"/>
    <mergeCell ref="AE11:AE12"/>
    <mergeCell ref="AF11:AF12"/>
    <mergeCell ref="I11:I12"/>
    <mergeCell ref="J11:J12"/>
    <mergeCell ref="K11:K12"/>
    <mergeCell ref="L11:L12"/>
    <mergeCell ref="M11:M12"/>
    <mergeCell ref="N11:N12"/>
    <mergeCell ref="AM13:AM14"/>
    <mergeCell ref="A26:A27"/>
    <mergeCell ref="C26:C27"/>
    <mergeCell ref="D26:D27"/>
    <mergeCell ref="E26:E27"/>
    <mergeCell ref="F26:F27"/>
    <mergeCell ref="AC13:AC14"/>
    <mergeCell ref="AD13:AD14"/>
    <mergeCell ref="AE13:AE14"/>
    <mergeCell ref="AF13:AF14"/>
    <mergeCell ref="AG13:AG14"/>
    <mergeCell ref="AH13:AH14"/>
    <mergeCell ref="K13:K14"/>
    <mergeCell ref="L13:L14"/>
    <mergeCell ref="M13:M14"/>
    <mergeCell ref="N13:N14"/>
    <mergeCell ref="O13:O14"/>
    <mergeCell ref="AB13:AB14"/>
    <mergeCell ref="AK26:AK27"/>
    <mergeCell ref="AL26:AL27"/>
    <mergeCell ref="AM26:AM27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AI13:AI14"/>
    <mergeCell ref="AJ13:AJ14"/>
    <mergeCell ref="A29:A30"/>
    <mergeCell ref="C29:C30"/>
    <mergeCell ref="D29:D30"/>
    <mergeCell ref="E29:E30"/>
    <mergeCell ref="F29:F30"/>
    <mergeCell ref="G29:G30"/>
    <mergeCell ref="H29:H30"/>
    <mergeCell ref="AE26:AE27"/>
    <mergeCell ref="AF26:AF27"/>
    <mergeCell ref="AG26:AG27"/>
    <mergeCell ref="AH26:AH27"/>
    <mergeCell ref="AI26:AI27"/>
    <mergeCell ref="AJ26:AJ27"/>
    <mergeCell ref="M26:M27"/>
    <mergeCell ref="N26:N27"/>
    <mergeCell ref="O26:O27"/>
    <mergeCell ref="AB26:AB27"/>
    <mergeCell ref="AC26:AC27"/>
    <mergeCell ref="AD26:AD27"/>
    <mergeCell ref="G26:G27"/>
    <mergeCell ref="H26:H27"/>
    <mergeCell ref="I26:I27"/>
    <mergeCell ref="J26:J27"/>
    <mergeCell ref="K26:K27"/>
    <mergeCell ref="L26:L27"/>
    <mergeCell ref="AM29:AM30"/>
    <mergeCell ref="A31:A32"/>
    <mergeCell ref="C31:C32"/>
    <mergeCell ref="D31:D32"/>
    <mergeCell ref="E31:E32"/>
    <mergeCell ref="F31:F32"/>
    <mergeCell ref="G31:G32"/>
    <mergeCell ref="H31:H32"/>
    <mergeCell ref="I31:I32"/>
    <mergeCell ref="J31:J32"/>
    <mergeCell ref="AG29:AG30"/>
    <mergeCell ref="AH29:AH30"/>
    <mergeCell ref="AI29:AI30"/>
    <mergeCell ref="AJ29:AJ30"/>
    <mergeCell ref="AK29:AK30"/>
    <mergeCell ref="AL29:AL30"/>
    <mergeCell ref="O29:O30"/>
    <mergeCell ref="AB29:AB30"/>
    <mergeCell ref="AC29:AC30"/>
    <mergeCell ref="AD29:AD30"/>
    <mergeCell ref="AE29:AE30"/>
    <mergeCell ref="AF29:AF30"/>
    <mergeCell ref="I29:I30"/>
    <mergeCell ref="J29:J30"/>
    <mergeCell ref="K29:K30"/>
    <mergeCell ref="L29:L30"/>
    <mergeCell ref="M29:M30"/>
    <mergeCell ref="N29:N30"/>
    <mergeCell ref="AI31:AI32"/>
    <mergeCell ref="AJ31:AJ32"/>
    <mergeCell ref="AK31:AK32"/>
    <mergeCell ref="AL31:AL32"/>
    <mergeCell ref="AM31:AM32"/>
    <mergeCell ref="A33:A34"/>
    <mergeCell ref="C33:C34"/>
    <mergeCell ref="D33:D34"/>
    <mergeCell ref="E33:E34"/>
    <mergeCell ref="F33:F34"/>
    <mergeCell ref="AC31:AC32"/>
    <mergeCell ref="AD31:AD32"/>
    <mergeCell ref="AE31:AE32"/>
    <mergeCell ref="AF31:AF32"/>
    <mergeCell ref="AG31:AG32"/>
    <mergeCell ref="AH31:AH32"/>
    <mergeCell ref="K31:K32"/>
    <mergeCell ref="L31:L32"/>
    <mergeCell ref="M31:M32"/>
    <mergeCell ref="N31:N32"/>
    <mergeCell ref="O31:O32"/>
    <mergeCell ref="AB31:AB32"/>
    <mergeCell ref="AK33:AK34"/>
    <mergeCell ref="AL33:AL34"/>
    <mergeCell ref="AM33:AM34"/>
    <mergeCell ref="T31:T32"/>
    <mergeCell ref="U31:U32"/>
    <mergeCell ref="V31:V32"/>
    <mergeCell ref="W31:W32"/>
    <mergeCell ref="T33:T34"/>
    <mergeCell ref="U33:U34"/>
    <mergeCell ref="V33:V34"/>
    <mergeCell ref="W33:W34"/>
    <mergeCell ref="X31:X32"/>
    <mergeCell ref="Y31:Y32"/>
    <mergeCell ref="Z31:Z32"/>
    <mergeCell ref="A38:A39"/>
    <mergeCell ref="C38:C39"/>
    <mergeCell ref="D38:D39"/>
    <mergeCell ref="E38:E39"/>
    <mergeCell ref="F38:F39"/>
    <mergeCell ref="G38:G39"/>
    <mergeCell ref="H38:H39"/>
    <mergeCell ref="AE33:AE34"/>
    <mergeCell ref="AF33:AF34"/>
    <mergeCell ref="AG33:AG34"/>
    <mergeCell ref="AH33:AH34"/>
    <mergeCell ref="AI33:AI34"/>
    <mergeCell ref="AJ33:AJ34"/>
    <mergeCell ref="M33:M34"/>
    <mergeCell ref="N33:N34"/>
    <mergeCell ref="O33:O34"/>
    <mergeCell ref="AB33:AB34"/>
    <mergeCell ref="AC33:AC34"/>
    <mergeCell ref="AD33:AD34"/>
    <mergeCell ref="G33:G34"/>
    <mergeCell ref="H33:H34"/>
    <mergeCell ref="I33:I34"/>
    <mergeCell ref="J33:J34"/>
    <mergeCell ref="K33:K34"/>
    <mergeCell ref="L33:L34"/>
    <mergeCell ref="T38:T39"/>
    <mergeCell ref="U38:U39"/>
    <mergeCell ref="V38:V39"/>
    <mergeCell ref="W38:W39"/>
    <mergeCell ref="AM38:AM39"/>
    <mergeCell ref="A41:A42"/>
    <mergeCell ref="C41:C42"/>
    <mergeCell ref="D41:D42"/>
    <mergeCell ref="E41:E42"/>
    <mergeCell ref="F41:F42"/>
    <mergeCell ref="G41:G42"/>
    <mergeCell ref="H41:H42"/>
    <mergeCell ref="I41:I42"/>
    <mergeCell ref="J41:J42"/>
    <mergeCell ref="AG38:AG39"/>
    <mergeCell ref="AH38:AH39"/>
    <mergeCell ref="AI38:AI39"/>
    <mergeCell ref="AJ38:AJ39"/>
    <mergeCell ref="AK38:AK39"/>
    <mergeCell ref="AL38:AL39"/>
    <mergeCell ref="O38:O39"/>
    <mergeCell ref="AB38:AB39"/>
    <mergeCell ref="AC38:AC39"/>
    <mergeCell ref="AD38:AD39"/>
    <mergeCell ref="AE38:AE39"/>
    <mergeCell ref="AF38:AF39"/>
    <mergeCell ref="I38:I39"/>
    <mergeCell ref="J38:J39"/>
    <mergeCell ref="K38:K39"/>
    <mergeCell ref="L38:L39"/>
    <mergeCell ref="M38:M39"/>
    <mergeCell ref="N38:N39"/>
    <mergeCell ref="AI41:AI42"/>
    <mergeCell ref="AJ41:AJ42"/>
    <mergeCell ref="AK41:AK42"/>
    <mergeCell ref="AL41:AL42"/>
    <mergeCell ref="AM41:AM42"/>
    <mergeCell ref="A43:A44"/>
    <mergeCell ref="C43:C44"/>
    <mergeCell ref="D43:D44"/>
    <mergeCell ref="E43:E44"/>
    <mergeCell ref="F43:F44"/>
    <mergeCell ref="AC41:AC42"/>
    <mergeCell ref="AD41:AD42"/>
    <mergeCell ref="AE41:AE42"/>
    <mergeCell ref="AF41:AF42"/>
    <mergeCell ref="AG41:AG42"/>
    <mergeCell ref="AH41:AH42"/>
    <mergeCell ref="K41:K42"/>
    <mergeCell ref="L41:L42"/>
    <mergeCell ref="M41:M42"/>
    <mergeCell ref="N41:N42"/>
    <mergeCell ref="O41:O42"/>
    <mergeCell ref="AB41:AB42"/>
    <mergeCell ref="AK43:AK44"/>
    <mergeCell ref="AL43:AL44"/>
    <mergeCell ref="AM43:AM44"/>
    <mergeCell ref="T41:T42"/>
    <mergeCell ref="U41:U42"/>
    <mergeCell ref="V41:V42"/>
    <mergeCell ref="W41:W42"/>
    <mergeCell ref="T43:T44"/>
    <mergeCell ref="U43:U44"/>
    <mergeCell ref="V43:V44"/>
    <mergeCell ref="W43:W44"/>
    <mergeCell ref="A45:A46"/>
    <mergeCell ref="C45:C46"/>
    <mergeCell ref="D45:D46"/>
    <mergeCell ref="E45:E46"/>
    <mergeCell ref="F45:F46"/>
    <mergeCell ref="G45:G46"/>
    <mergeCell ref="H45:H46"/>
    <mergeCell ref="AE43:AE44"/>
    <mergeCell ref="AF43:AF44"/>
    <mergeCell ref="AG43:AG44"/>
    <mergeCell ref="AH43:AH44"/>
    <mergeCell ref="AI43:AI44"/>
    <mergeCell ref="AJ43:AJ44"/>
    <mergeCell ref="M43:M44"/>
    <mergeCell ref="N43:N44"/>
    <mergeCell ref="O43:O44"/>
    <mergeCell ref="AB43:AB44"/>
    <mergeCell ref="AC43:AC44"/>
    <mergeCell ref="AD43:AD44"/>
    <mergeCell ref="G43:G44"/>
    <mergeCell ref="H43:H44"/>
    <mergeCell ref="I43:I44"/>
    <mergeCell ref="J43:J44"/>
    <mergeCell ref="K43:K44"/>
    <mergeCell ref="L43:L44"/>
    <mergeCell ref="T45:T46"/>
    <mergeCell ref="U45:U46"/>
    <mergeCell ref="V45:V46"/>
    <mergeCell ref="W45:W46"/>
    <mergeCell ref="X45:X46"/>
    <mergeCell ref="Y45:Y46"/>
    <mergeCell ref="Z45:Z46"/>
    <mergeCell ref="AM45:AM46"/>
    <mergeCell ref="A49:A54"/>
    <mergeCell ref="C49:C54"/>
    <mergeCell ref="D49:D50"/>
    <mergeCell ref="E49:E50"/>
    <mergeCell ref="F49:F50"/>
    <mergeCell ref="G49:G50"/>
    <mergeCell ref="H49:H50"/>
    <mergeCell ref="I49:I50"/>
    <mergeCell ref="J49:J50"/>
    <mergeCell ref="AG45:AG46"/>
    <mergeCell ref="AH45:AH46"/>
    <mergeCell ref="AI45:AI46"/>
    <mergeCell ref="AJ45:AJ46"/>
    <mergeCell ref="AK45:AK46"/>
    <mergeCell ref="AL45:AL46"/>
    <mergeCell ref="O45:O46"/>
    <mergeCell ref="AB45:AB46"/>
    <mergeCell ref="AC45:AC46"/>
    <mergeCell ref="AD45:AD46"/>
    <mergeCell ref="AE45:AE46"/>
    <mergeCell ref="AF45:AF46"/>
    <mergeCell ref="I45:I46"/>
    <mergeCell ref="J45:J46"/>
    <mergeCell ref="K45:K46"/>
    <mergeCell ref="L45:L46"/>
    <mergeCell ref="M45:M46"/>
    <mergeCell ref="N45:N46"/>
    <mergeCell ref="AI49:AI50"/>
    <mergeCell ref="AJ49:AJ50"/>
    <mergeCell ref="AK49:AK50"/>
    <mergeCell ref="AL49:AL50"/>
    <mergeCell ref="AM49:AM50"/>
    <mergeCell ref="D53:D54"/>
    <mergeCell ref="E53:E54"/>
    <mergeCell ref="F53:F54"/>
    <mergeCell ref="G53:G54"/>
    <mergeCell ref="H53:H54"/>
    <mergeCell ref="AC49:AC50"/>
    <mergeCell ref="AD49:AD50"/>
    <mergeCell ref="AE49:AE50"/>
    <mergeCell ref="AF49:AF50"/>
    <mergeCell ref="AG49:AG50"/>
    <mergeCell ref="AH49:AH50"/>
    <mergeCell ref="K49:K50"/>
    <mergeCell ref="L49:L50"/>
    <mergeCell ref="M49:M50"/>
    <mergeCell ref="N49:N50"/>
    <mergeCell ref="O49:O50"/>
    <mergeCell ref="AB49:AB50"/>
    <mergeCell ref="AM53:AM54"/>
    <mergeCell ref="T49:T50"/>
    <mergeCell ref="U49:U50"/>
    <mergeCell ref="V49:V50"/>
    <mergeCell ref="W49:W50"/>
    <mergeCell ref="T53:T54"/>
    <mergeCell ref="U53:U54"/>
    <mergeCell ref="V53:V54"/>
    <mergeCell ref="W53:W54"/>
    <mergeCell ref="A55:A59"/>
    <mergeCell ref="C55:C59"/>
    <mergeCell ref="D58:D59"/>
    <mergeCell ref="E58:E59"/>
    <mergeCell ref="F58:F59"/>
    <mergeCell ref="G58:G59"/>
    <mergeCell ref="H58:H59"/>
    <mergeCell ref="I58:I59"/>
    <mergeCell ref="J58:J59"/>
    <mergeCell ref="AG53:AG54"/>
    <mergeCell ref="AH53:AH54"/>
    <mergeCell ref="AI53:AI54"/>
    <mergeCell ref="AJ53:AJ54"/>
    <mergeCell ref="AK53:AK54"/>
    <mergeCell ref="AL53:AL54"/>
    <mergeCell ref="O53:O54"/>
    <mergeCell ref="AB53:AB54"/>
    <mergeCell ref="AC53:AC54"/>
    <mergeCell ref="AD53:AD54"/>
    <mergeCell ref="AE53:AE54"/>
    <mergeCell ref="AF53:AF54"/>
    <mergeCell ref="I53:I54"/>
    <mergeCell ref="J53:J54"/>
    <mergeCell ref="K53:K54"/>
    <mergeCell ref="L53:L54"/>
    <mergeCell ref="M53:M54"/>
    <mergeCell ref="N53:N54"/>
    <mergeCell ref="AI58:AI59"/>
    <mergeCell ref="AJ58:AJ59"/>
    <mergeCell ref="AK58:AK59"/>
    <mergeCell ref="AL58:AL59"/>
    <mergeCell ref="T58:T59"/>
    <mergeCell ref="AM58:AM59"/>
    <mergeCell ref="A60:A65"/>
    <mergeCell ref="C60:C65"/>
    <mergeCell ref="D60:D61"/>
    <mergeCell ref="E60:E61"/>
    <mergeCell ref="F60:F61"/>
    <mergeCell ref="AC58:AC59"/>
    <mergeCell ref="AD58:AD59"/>
    <mergeCell ref="AE58:AE59"/>
    <mergeCell ref="AF58:AF59"/>
    <mergeCell ref="AG58:AG59"/>
    <mergeCell ref="AH58:AH59"/>
    <mergeCell ref="K58:K59"/>
    <mergeCell ref="L58:L59"/>
    <mergeCell ref="M58:M59"/>
    <mergeCell ref="N58:N59"/>
    <mergeCell ref="O58:O59"/>
    <mergeCell ref="AB58:AB59"/>
    <mergeCell ref="AK60:AK61"/>
    <mergeCell ref="AL60:AL61"/>
    <mergeCell ref="AM60:AM61"/>
    <mergeCell ref="D64:D65"/>
    <mergeCell ref="E64:E65"/>
    <mergeCell ref="F64:F65"/>
    <mergeCell ref="G64:G65"/>
    <mergeCell ref="H64:H65"/>
    <mergeCell ref="I64:I65"/>
    <mergeCell ref="J64:J65"/>
    <mergeCell ref="AE60:AE61"/>
    <mergeCell ref="AF60:AF61"/>
    <mergeCell ref="AG60:AG61"/>
    <mergeCell ref="AH60:AH61"/>
    <mergeCell ref="AI60:AI61"/>
    <mergeCell ref="AJ60:AJ61"/>
    <mergeCell ref="M60:M61"/>
    <mergeCell ref="N60:N61"/>
    <mergeCell ref="O60:O61"/>
    <mergeCell ref="AB60:AB61"/>
    <mergeCell ref="AC60:AC61"/>
    <mergeCell ref="AD60:AD61"/>
    <mergeCell ref="G60:G61"/>
    <mergeCell ref="H60:H61"/>
    <mergeCell ref="I60:I61"/>
    <mergeCell ref="J60:J61"/>
    <mergeCell ref="K60:K61"/>
    <mergeCell ref="L60:L61"/>
    <mergeCell ref="AI64:AI65"/>
    <mergeCell ref="AJ64:AJ65"/>
    <mergeCell ref="AK64:AK65"/>
    <mergeCell ref="X64:X65"/>
    <mergeCell ref="Y64:Y65"/>
    <mergeCell ref="Z64:Z65"/>
    <mergeCell ref="AA64:AA65"/>
    <mergeCell ref="P64:P65"/>
    <mergeCell ref="Q64:Q65"/>
    <mergeCell ref="R64:R65"/>
    <mergeCell ref="S64:S65"/>
    <mergeCell ref="AL64:AL65"/>
    <mergeCell ref="AM64:AM65"/>
    <mergeCell ref="A66:A67"/>
    <mergeCell ref="C66:C67"/>
    <mergeCell ref="D66:D67"/>
    <mergeCell ref="E66:E67"/>
    <mergeCell ref="F66:F67"/>
    <mergeCell ref="AC64:AC65"/>
    <mergeCell ref="AD64:AD65"/>
    <mergeCell ref="AE64:AE65"/>
    <mergeCell ref="AF64:AF65"/>
    <mergeCell ref="AG64:AG65"/>
    <mergeCell ref="AH64:AH65"/>
    <mergeCell ref="K64:K65"/>
    <mergeCell ref="L64:L65"/>
    <mergeCell ref="M64:M65"/>
    <mergeCell ref="N64:N65"/>
    <mergeCell ref="O64:O65"/>
    <mergeCell ref="AB64:AB65"/>
    <mergeCell ref="AK66:AK67"/>
    <mergeCell ref="AL66:AL67"/>
    <mergeCell ref="AM66:AM67"/>
    <mergeCell ref="AE66:AE67"/>
    <mergeCell ref="AF66:AF67"/>
    <mergeCell ref="AG66:AG67"/>
    <mergeCell ref="AH66:AH67"/>
    <mergeCell ref="AI66:AI67"/>
    <mergeCell ref="AJ66:AJ67"/>
    <mergeCell ref="M66:M67"/>
    <mergeCell ref="N66:N67"/>
    <mergeCell ref="O66:O67"/>
    <mergeCell ref="AB66:AB67"/>
    <mergeCell ref="AC66:AC67"/>
    <mergeCell ref="AD66:AD67"/>
    <mergeCell ref="G66:G67"/>
    <mergeCell ref="H66:H67"/>
    <mergeCell ref="I66:I67"/>
    <mergeCell ref="J66:J67"/>
    <mergeCell ref="K66:K67"/>
    <mergeCell ref="L66:L67"/>
    <mergeCell ref="AE69:AE70"/>
    <mergeCell ref="AF69:AF70"/>
    <mergeCell ref="I69:I70"/>
    <mergeCell ref="J69:J70"/>
    <mergeCell ref="K69:K70"/>
    <mergeCell ref="L69:L70"/>
    <mergeCell ref="M69:M70"/>
    <mergeCell ref="N69:N70"/>
    <mergeCell ref="AK73:AK74"/>
    <mergeCell ref="AH69:AH70"/>
    <mergeCell ref="AI69:AI70"/>
    <mergeCell ref="AJ69:AJ70"/>
    <mergeCell ref="AK69:AK70"/>
    <mergeCell ref="T73:T74"/>
    <mergeCell ref="U73:U74"/>
    <mergeCell ref="V73:V74"/>
    <mergeCell ref="W73:W74"/>
    <mergeCell ref="X66:X67"/>
    <mergeCell ref="Y66:Y67"/>
    <mergeCell ref="Z66:Z67"/>
    <mergeCell ref="AA66:AA67"/>
    <mergeCell ref="X69:X70"/>
    <mergeCell ref="Y69:Y70"/>
    <mergeCell ref="Z69:Z70"/>
    <mergeCell ref="AL73:AL74"/>
    <mergeCell ref="AM73:AM74"/>
    <mergeCell ref="A69:A74"/>
    <mergeCell ref="C69:C74"/>
    <mergeCell ref="D69:D70"/>
    <mergeCell ref="E69:E70"/>
    <mergeCell ref="F69:F70"/>
    <mergeCell ref="G69:G70"/>
    <mergeCell ref="H69:H70"/>
    <mergeCell ref="AE73:AE74"/>
    <mergeCell ref="AF73:AF74"/>
    <mergeCell ref="AG73:AG74"/>
    <mergeCell ref="AH73:AH74"/>
    <mergeCell ref="AI73:AI74"/>
    <mergeCell ref="AJ73:AJ74"/>
    <mergeCell ref="M73:M74"/>
    <mergeCell ref="N73:N74"/>
    <mergeCell ref="O73:O74"/>
    <mergeCell ref="AB73:AB74"/>
    <mergeCell ref="AC73:AC74"/>
    <mergeCell ref="AD73:AD74"/>
    <mergeCell ref="AM69:AM70"/>
    <mergeCell ref="D73:D74"/>
    <mergeCell ref="E73:E74"/>
    <mergeCell ref="F73:F74"/>
    <mergeCell ref="G73:G74"/>
    <mergeCell ref="H73:H74"/>
    <mergeCell ref="I73:I74"/>
    <mergeCell ref="J73:J74"/>
    <mergeCell ref="K73:K74"/>
    <mergeCell ref="L73:L74"/>
    <mergeCell ref="AG69:AG70"/>
    <mergeCell ref="AL69:AL70"/>
    <mergeCell ref="O69:O70"/>
    <mergeCell ref="AB69:AB70"/>
    <mergeCell ref="AC69:AC70"/>
    <mergeCell ref="AD69:AD70"/>
    <mergeCell ref="AE75:AE77"/>
    <mergeCell ref="AF75:AF77"/>
    <mergeCell ref="I75:I77"/>
    <mergeCell ref="J75:J77"/>
    <mergeCell ref="K75:K77"/>
    <mergeCell ref="L75:L77"/>
    <mergeCell ref="M75:M77"/>
    <mergeCell ref="N75:N77"/>
    <mergeCell ref="AK78:AK79"/>
    <mergeCell ref="AL78:AL79"/>
    <mergeCell ref="AM78:AM79"/>
    <mergeCell ref="A75:A80"/>
    <mergeCell ref="C75:C80"/>
    <mergeCell ref="D75:D77"/>
    <mergeCell ref="E75:E77"/>
    <mergeCell ref="F75:F77"/>
    <mergeCell ref="G75:G77"/>
    <mergeCell ref="H75:H77"/>
    <mergeCell ref="AE78:AE79"/>
    <mergeCell ref="AF78:AF79"/>
    <mergeCell ref="AG78:AG79"/>
    <mergeCell ref="AH78:AH79"/>
    <mergeCell ref="AI78:AI79"/>
    <mergeCell ref="AJ78:AJ79"/>
    <mergeCell ref="M78:M79"/>
    <mergeCell ref="N78:N79"/>
    <mergeCell ref="O78:O79"/>
    <mergeCell ref="AB78:AB79"/>
    <mergeCell ref="AC78:AC79"/>
    <mergeCell ref="AD78:AD79"/>
    <mergeCell ref="AM75:AM77"/>
    <mergeCell ref="D78:D79"/>
    <mergeCell ref="E78:E79"/>
    <mergeCell ref="F78:F79"/>
    <mergeCell ref="G78:G79"/>
    <mergeCell ref="H78:H79"/>
    <mergeCell ref="I78:I79"/>
    <mergeCell ref="J78:J79"/>
    <mergeCell ref="K78:K79"/>
    <mergeCell ref="L78:L79"/>
    <mergeCell ref="AG75:AG77"/>
    <mergeCell ref="AH75:AH77"/>
    <mergeCell ref="AI75:AI77"/>
    <mergeCell ref="AJ75:AJ77"/>
    <mergeCell ref="AK75:AK77"/>
    <mergeCell ref="AL75:AL77"/>
    <mergeCell ref="O75:O77"/>
    <mergeCell ref="AB75:AB77"/>
    <mergeCell ref="AC75:AC77"/>
    <mergeCell ref="AD75:AD77"/>
    <mergeCell ref="T75:T77"/>
    <mergeCell ref="U75:U77"/>
    <mergeCell ref="V75:V77"/>
    <mergeCell ref="W75:W77"/>
    <mergeCell ref="T78:T79"/>
    <mergeCell ref="U78:U79"/>
    <mergeCell ref="V78:V79"/>
    <mergeCell ref="W78:W79"/>
    <mergeCell ref="AM81:AM83"/>
    <mergeCell ref="D84:D85"/>
    <mergeCell ref="E84:E85"/>
    <mergeCell ref="F84:F85"/>
    <mergeCell ref="G84:G85"/>
    <mergeCell ref="H84:H85"/>
    <mergeCell ref="I84:I85"/>
    <mergeCell ref="J84:J85"/>
    <mergeCell ref="K84:K85"/>
    <mergeCell ref="L84:L85"/>
    <mergeCell ref="AG81:AG83"/>
    <mergeCell ref="AH81:AH83"/>
    <mergeCell ref="AI81:AI83"/>
    <mergeCell ref="AJ81:AJ83"/>
    <mergeCell ref="AK81:AK83"/>
    <mergeCell ref="AL81:AL83"/>
    <mergeCell ref="O81:O83"/>
    <mergeCell ref="AB81:AB83"/>
    <mergeCell ref="AC81:AC83"/>
    <mergeCell ref="AD81:AD83"/>
    <mergeCell ref="AE81:AE83"/>
    <mergeCell ref="AF81:AF83"/>
    <mergeCell ref="I81:I83"/>
    <mergeCell ref="J81:J83"/>
    <mergeCell ref="K81:K83"/>
    <mergeCell ref="L81:L83"/>
    <mergeCell ref="M81:M83"/>
    <mergeCell ref="N81:N83"/>
    <mergeCell ref="AK84:AK85"/>
    <mergeCell ref="AL84:AL85"/>
    <mergeCell ref="AM84:AM85"/>
    <mergeCell ref="D81:D83"/>
    <mergeCell ref="A87:A88"/>
    <mergeCell ref="C87:C88"/>
    <mergeCell ref="D87:D88"/>
    <mergeCell ref="E87:E88"/>
    <mergeCell ref="F87:F88"/>
    <mergeCell ref="G87:G88"/>
    <mergeCell ref="H87:H88"/>
    <mergeCell ref="AE84:AE85"/>
    <mergeCell ref="AF84:AF85"/>
    <mergeCell ref="AG84:AG85"/>
    <mergeCell ref="AH84:AH85"/>
    <mergeCell ref="AI84:AI85"/>
    <mergeCell ref="AJ84:AJ85"/>
    <mergeCell ref="M84:M85"/>
    <mergeCell ref="N84:N85"/>
    <mergeCell ref="O84:O85"/>
    <mergeCell ref="AB84:AB85"/>
    <mergeCell ref="AC84:AC85"/>
    <mergeCell ref="AD84:AD85"/>
    <mergeCell ref="A81:A86"/>
    <mergeCell ref="C81:C86"/>
    <mergeCell ref="E81:E83"/>
    <mergeCell ref="F81:F83"/>
    <mergeCell ref="G81:G83"/>
    <mergeCell ref="H81:H83"/>
    <mergeCell ref="T81:T83"/>
    <mergeCell ref="U81:U83"/>
    <mergeCell ref="V81:V83"/>
    <mergeCell ref="W81:W83"/>
    <mergeCell ref="T84:T85"/>
    <mergeCell ref="U84:U85"/>
    <mergeCell ref="V84:V85"/>
    <mergeCell ref="AM87:AM88"/>
    <mergeCell ref="A90:A94"/>
    <mergeCell ref="C90:C94"/>
    <mergeCell ref="D93:D94"/>
    <mergeCell ref="E93:E94"/>
    <mergeCell ref="F93:F94"/>
    <mergeCell ref="G93:G94"/>
    <mergeCell ref="H93:H94"/>
    <mergeCell ref="I93:I94"/>
    <mergeCell ref="J93:J94"/>
    <mergeCell ref="AG87:AG88"/>
    <mergeCell ref="AH87:AH88"/>
    <mergeCell ref="AI87:AI88"/>
    <mergeCell ref="AJ87:AJ88"/>
    <mergeCell ref="AK87:AK88"/>
    <mergeCell ref="AL87:AL88"/>
    <mergeCell ref="O87:O88"/>
    <mergeCell ref="AB87:AB88"/>
    <mergeCell ref="AC87:AC88"/>
    <mergeCell ref="AD87:AD88"/>
    <mergeCell ref="AE87:AE88"/>
    <mergeCell ref="AF87:AF88"/>
    <mergeCell ref="I87:I88"/>
    <mergeCell ref="J87:J88"/>
    <mergeCell ref="K87:K88"/>
    <mergeCell ref="L87:L88"/>
    <mergeCell ref="M87:M88"/>
    <mergeCell ref="N87:N88"/>
    <mergeCell ref="AI93:AI94"/>
    <mergeCell ref="AJ93:AJ94"/>
    <mergeCell ref="AK93:AK94"/>
    <mergeCell ref="AL93:AL94"/>
    <mergeCell ref="AM93:AM94"/>
    <mergeCell ref="A95:A99"/>
    <mergeCell ref="C95:C99"/>
    <mergeCell ref="D95:D96"/>
    <mergeCell ref="E95:E96"/>
    <mergeCell ref="F95:F96"/>
    <mergeCell ref="AC93:AC94"/>
    <mergeCell ref="AD93:AD94"/>
    <mergeCell ref="AE93:AE94"/>
    <mergeCell ref="AF93:AF94"/>
    <mergeCell ref="AG93:AG94"/>
    <mergeCell ref="AH93:AH94"/>
    <mergeCell ref="K93:K94"/>
    <mergeCell ref="L93:L94"/>
    <mergeCell ref="M93:M94"/>
    <mergeCell ref="N93:N94"/>
    <mergeCell ref="O93:O94"/>
    <mergeCell ref="AB93:AB94"/>
    <mergeCell ref="AK95:AK96"/>
    <mergeCell ref="AL95:AL96"/>
    <mergeCell ref="AM95:AM96"/>
    <mergeCell ref="D97:D98"/>
    <mergeCell ref="E97:E98"/>
    <mergeCell ref="F97:F98"/>
    <mergeCell ref="G97:G98"/>
    <mergeCell ref="H97:H98"/>
    <mergeCell ref="I97:I98"/>
    <mergeCell ref="J97:J98"/>
    <mergeCell ref="AE95:AE96"/>
    <mergeCell ref="AF95:AF96"/>
    <mergeCell ref="AG95:AG96"/>
    <mergeCell ref="AH95:AH96"/>
    <mergeCell ref="AI95:AI96"/>
    <mergeCell ref="AJ95:AJ96"/>
    <mergeCell ref="M95:M96"/>
    <mergeCell ref="N95:N96"/>
    <mergeCell ref="O95:O96"/>
    <mergeCell ref="AB95:AB96"/>
    <mergeCell ref="AC95:AC96"/>
    <mergeCell ref="AD95:AD96"/>
    <mergeCell ref="G95:G96"/>
    <mergeCell ref="H95:H96"/>
    <mergeCell ref="I95:I96"/>
    <mergeCell ref="J95:J96"/>
    <mergeCell ref="K95:K96"/>
    <mergeCell ref="L95:L96"/>
    <mergeCell ref="AI97:AI98"/>
    <mergeCell ref="AJ97:AJ98"/>
    <mergeCell ref="AK97:AK98"/>
    <mergeCell ref="P97:P98"/>
    <mergeCell ref="Q97:Q98"/>
    <mergeCell ref="R97:R98"/>
    <mergeCell ref="S97:S98"/>
    <mergeCell ref="AL97:AL98"/>
    <mergeCell ref="AM97:AM98"/>
    <mergeCell ref="A100:A104"/>
    <mergeCell ref="C100:C104"/>
    <mergeCell ref="D100:D101"/>
    <mergeCell ref="E100:E101"/>
    <mergeCell ref="F100:F101"/>
    <mergeCell ref="AC97:AC98"/>
    <mergeCell ref="AD97:AD98"/>
    <mergeCell ref="AE97:AE98"/>
    <mergeCell ref="AF97:AF98"/>
    <mergeCell ref="AG97:AG98"/>
    <mergeCell ref="AH97:AH98"/>
    <mergeCell ref="K97:K98"/>
    <mergeCell ref="L97:L98"/>
    <mergeCell ref="M97:M98"/>
    <mergeCell ref="N97:N98"/>
    <mergeCell ref="O97:O98"/>
    <mergeCell ref="AB97:AB98"/>
    <mergeCell ref="AK100:AK101"/>
    <mergeCell ref="AL100:AL101"/>
    <mergeCell ref="AM100:AM101"/>
    <mergeCell ref="D102:D103"/>
    <mergeCell ref="E102:E103"/>
    <mergeCell ref="F102:F103"/>
    <mergeCell ref="G102:G103"/>
    <mergeCell ref="H102:H103"/>
    <mergeCell ref="I102:I103"/>
    <mergeCell ref="J102:J103"/>
    <mergeCell ref="AE100:AE101"/>
    <mergeCell ref="AF100:AF101"/>
    <mergeCell ref="AG100:AG101"/>
    <mergeCell ref="AH100:AH101"/>
    <mergeCell ref="AI100:AI101"/>
    <mergeCell ref="AJ100:AJ101"/>
    <mergeCell ref="M100:M101"/>
    <mergeCell ref="N100:N101"/>
    <mergeCell ref="O100:O101"/>
    <mergeCell ref="AB100:AB101"/>
    <mergeCell ref="AC100:AC101"/>
    <mergeCell ref="AD100:AD101"/>
    <mergeCell ref="G100:G101"/>
    <mergeCell ref="H100:H101"/>
    <mergeCell ref="I100:I101"/>
    <mergeCell ref="J100:J101"/>
    <mergeCell ref="K100:K101"/>
    <mergeCell ref="L100:L101"/>
    <mergeCell ref="AI102:AI103"/>
    <mergeCell ref="AJ102:AJ103"/>
    <mergeCell ref="T100:T101"/>
    <mergeCell ref="U100:U101"/>
    <mergeCell ref="V100:V101"/>
    <mergeCell ref="W100:W101"/>
    <mergeCell ref="T102:T103"/>
    <mergeCell ref="U102:U103"/>
    <mergeCell ref="V102:V103"/>
    <mergeCell ref="W102:W103"/>
    <mergeCell ref="X100:X101"/>
    <mergeCell ref="Y100:Y101"/>
    <mergeCell ref="Z100:Z101"/>
    <mergeCell ref="AA100:AA101"/>
    <mergeCell ref="X102:X103"/>
    <mergeCell ref="Y102:Y103"/>
    <mergeCell ref="Z102:Z103"/>
    <mergeCell ref="AK102:AK103"/>
    <mergeCell ref="AL102:AL103"/>
    <mergeCell ref="AM102:AM103"/>
    <mergeCell ref="A105:A111"/>
    <mergeCell ref="C105:C111"/>
    <mergeCell ref="D105:D107"/>
    <mergeCell ref="E105:E107"/>
    <mergeCell ref="F105:F107"/>
    <mergeCell ref="AC102:AC103"/>
    <mergeCell ref="AD102:AD103"/>
    <mergeCell ref="AE102:AE103"/>
    <mergeCell ref="AF102:AF103"/>
    <mergeCell ref="AG102:AG103"/>
    <mergeCell ref="AH102:AH103"/>
    <mergeCell ref="K102:K103"/>
    <mergeCell ref="L102:L103"/>
    <mergeCell ref="M102:M103"/>
    <mergeCell ref="N102:N103"/>
    <mergeCell ref="O102:O103"/>
    <mergeCell ref="AB102:AB103"/>
    <mergeCell ref="AK105:AK107"/>
    <mergeCell ref="AL105:AL107"/>
    <mergeCell ref="AM105:AM107"/>
    <mergeCell ref="D110:D111"/>
    <mergeCell ref="E110:E111"/>
    <mergeCell ref="F110:F111"/>
    <mergeCell ref="G110:G111"/>
    <mergeCell ref="H110:H111"/>
    <mergeCell ref="I110:I111"/>
    <mergeCell ref="J110:J111"/>
    <mergeCell ref="AE105:AE107"/>
    <mergeCell ref="AF105:AF107"/>
    <mergeCell ref="AG105:AG107"/>
    <mergeCell ref="AH105:AH107"/>
    <mergeCell ref="AI105:AI107"/>
    <mergeCell ref="AJ105:AJ107"/>
    <mergeCell ref="M105:M107"/>
    <mergeCell ref="N105:N107"/>
    <mergeCell ref="O105:O107"/>
    <mergeCell ref="AB105:AB107"/>
    <mergeCell ref="AC105:AC107"/>
    <mergeCell ref="AD105:AD107"/>
    <mergeCell ref="G105:G107"/>
    <mergeCell ref="H105:H107"/>
    <mergeCell ref="I105:I107"/>
    <mergeCell ref="J105:J107"/>
    <mergeCell ref="K105:K107"/>
    <mergeCell ref="L105:L107"/>
    <mergeCell ref="AI110:AI111"/>
    <mergeCell ref="AJ110:AJ111"/>
    <mergeCell ref="T105:T107"/>
    <mergeCell ref="U105:U107"/>
    <mergeCell ref="V105:V107"/>
    <mergeCell ref="W105:W107"/>
    <mergeCell ref="T110:T111"/>
    <mergeCell ref="U110:U111"/>
    <mergeCell ref="V110:V111"/>
    <mergeCell ref="W110:W111"/>
    <mergeCell ref="AK110:AK111"/>
    <mergeCell ref="AL110:AL111"/>
    <mergeCell ref="AM110:AM111"/>
    <mergeCell ref="A112:A113"/>
    <mergeCell ref="C112:C113"/>
    <mergeCell ref="D112:D113"/>
    <mergeCell ref="E112:E113"/>
    <mergeCell ref="F112:F113"/>
    <mergeCell ref="AC110:AC111"/>
    <mergeCell ref="AD110:AD111"/>
    <mergeCell ref="AE110:AE111"/>
    <mergeCell ref="AF110:AF111"/>
    <mergeCell ref="AG110:AG111"/>
    <mergeCell ref="AH110:AH111"/>
    <mergeCell ref="K110:K111"/>
    <mergeCell ref="L110:L111"/>
    <mergeCell ref="M110:M111"/>
    <mergeCell ref="N110:N111"/>
    <mergeCell ref="O110:O111"/>
    <mergeCell ref="AB110:AB111"/>
    <mergeCell ref="AK112:AK113"/>
    <mergeCell ref="AL112:AL113"/>
    <mergeCell ref="AM112:AM113"/>
    <mergeCell ref="T112:T113"/>
    <mergeCell ref="U112:U113"/>
    <mergeCell ref="V112:V113"/>
    <mergeCell ref="W112:W113"/>
    <mergeCell ref="A115:A119"/>
    <mergeCell ref="C115:C119"/>
    <mergeCell ref="D118:D119"/>
    <mergeCell ref="E118:E119"/>
    <mergeCell ref="F118:F119"/>
    <mergeCell ref="G118:G119"/>
    <mergeCell ref="H118:H119"/>
    <mergeCell ref="AE112:AE113"/>
    <mergeCell ref="AF112:AF113"/>
    <mergeCell ref="AG112:AG113"/>
    <mergeCell ref="AH112:AH113"/>
    <mergeCell ref="AI112:AI113"/>
    <mergeCell ref="AJ112:AJ113"/>
    <mergeCell ref="M112:M113"/>
    <mergeCell ref="N112:N113"/>
    <mergeCell ref="O112:O113"/>
    <mergeCell ref="AB112:AB113"/>
    <mergeCell ref="AC112:AC113"/>
    <mergeCell ref="AD112:AD113"/>
    <mergeCell ref="G112:G113"/>
    <mergeCell ref="H112:H113"/>
    <mergeCell ref="I112:I113"/>
    <mergeCell ref="J112:J113"/>
    <mergeCell ref="K112:K113"/>
    <mergeCell ref="L112:L113"/>
    <mergeCell ref="T118:T119"/>
    <mergeCell ref="U118:U119"/>
    <mergeCell ref="V118:V119"/>
    <mergeCell ref="W118:W119"/>
    <mergeCell ref="P118:P119"/>
    <mergeCell ref="Q118:Q119"/>
    <mergeCell ref="R118:R119"/>
    <mergeCell ref="AM118:AM119"/>
    <mergeCell ref="A120:A124"/>
    <mergeCell ref="C120:C124"/>
    <mergeCell ref="D120:D121"/>
    <mergeCell ref="E120:E121"/>
    <mergeCell ref="F120:F121"/>
    <mergeCell ref="G120:G121"/>
    <mergeCell ref="H120:H121"/>
    <mergeCell ref="I120:I121"/>
    <mergeCell ref="J120:J121"/>
    <mergeCell ref="AG118:AG119"/>
    <mergeCell ref="AH118:AH119"/>
    <mergeCell ref="AI118:AI119"/>
    <mergeCell ref="AJ118:AJ119"/>
    <mergeCell ref="AK118:AK119"/>
    <mergeCell ref="AL118:AL119"/>
    <mergeCell ref="O118:O119"/>
    <mergeCell ref="AB118:AB119"/>
    <mergeCell ref="AC118:AC119"/>
    <mergeCell ref="AD118:AD119"/>
    <mergeCell ref="AE118:AE119"/>
    <mergeCell ref="AF118:AF119"/>
    <mergeCell ref="I118:I119"/>
    <mergeCell ref="J118:J119"/>
    <mergeCell ref="K118:K119"/>
    <mergeCell ref="L118:L119"/>
    <mergeCell ref="M118:M119"/>
    <mergeCell ref="N118:N119"/>
    <mergeCell ref="AI120:AI121"/>
    <mergeCell ref="AJ120:AJ121"/>
    <mergeCell ref="AK120:AK121"/>
    <mergeCell ref="AL120:AL121"/>
    <mergeCell ref="AM120:AM121"/>
    <mergeCell ref="D122:D123"/>
    <mergeCell ref="E122:E123"/>
    <mergeCell ref="F122:F123"/>
    <mergeCell ref="G122:G123"/>
    <mergeCell ref="H122:H123"/>
    <mergeCell ref="AC120:AC121"/>
    <mergeCell ref="AD120:AD121"/>
    <mergeCell ref="AE120:AE121"/>
    <mergeCell ref="AF120:AF121"/>
    <mergeCell ref="AG120:AG121"/>
    <mergeCell ref="AH120:AH121"/>
    <mergeCell ref="K120:K121"/>
    <mergeCell ref="L120:L121"/>
    <mergeCell ref="M120:M121"/>
    <mergeCell ref="N120:N121"/>
    <mergeCell ref="O120:O121"/>
    <mergeCell ref="AB120:AB121"/>
    <mergeCell ref="AM122:AM123"/>
    <mergeCell ref="T120:T121"/>
    <mergeCell ref="U120:U121"/>
    <mergeCell ref="V120:V121"/>
    <mergeCell ref="W120:W121"/>
    <mergeCell ref="T122:T123"/>
    <mergeCell ref="U122:U123"/>
    <mergeCell ref="V122:V123"/>
    <mergeCell ref="W122:W123"/>
    <mergeCell ref="X120:X121"/>
    <mergeCell ref="Y120:Y121"/>
    <mergeCell ref="Z120:Z121"/>
    <mergeCell ref="AA120:AA121"/>
    <mergeCell ref="X122:X123"/>
    <mergeCell ref="C125:C129"/>
    <mergeCell ref="D125:D126"/>
    <mergeCell ref="E125:E126"/>
    <mergeCell ref="F125:F126"/>
    <mergeCell ref="G125:G126"/>
    <mergeCell ref="H125:H126"/>
    <mergeCell ref="I125:I126"/>
    <mergeCell ref="J125:J126"/>
    <mergeCell ref="AG122:AG123"/>
    <mergeCell ref="AH122:AH123"/>
    <mergeCell ref="AI122:AI123"/>
    <mergeCell ref="AJ122:AJ123"/>
    <mergeCell ref="AK122:AK123"/>
    <mergeCell ref="AL122:AL123"/>
    <mergeCell ref="O122:O123"/>
    <mergeCell ref="AB122:AB123"/>
    <mergeCell ref="AC122:AC123"/>
    <mergeCell ref="AD122:AD123"/>
    <mergeCell ref="AE122:AE123"/>
    <mergeCell ref="AF122:AF123"/>
    <mergeCell ref="I122:I123"/>
    <mergeCell ref="J122:J123"/>
    <mergeCell ref="K122:K123"/>
    <mergeCell ref="L122:L123"/>
    <mergeCell ref="M122:M123"/>
    <mergeCell ref="N122:N123"/>
    <mergeCell ref="AI125:AI126"/>
    <mergeCell ref="AJ125:AJ126"/>
    <mergeCell ref="AK125:AK126"/>
    <mergeCell ref="AL125:AL126"/>
    <mergeCell ref="T125:T126"/>
    <mergeCell ref="U125:U126"/>
    <mergeCell ref="AM125:AM126"/>
    <mergeCell ref="D127:D128"/>
    <mergeCell ref="E127:E128"/>
    <mergeCell ref="F127:F128"/>
    <mergeCell ref="G127:G128"/>
    <mergeCell ref="H127:H128"/>
    <mergeCell ref="AC125:AC126"/>
    <mergeCell ref="AD125:AD126"/>
    <mergeCell ref="AE125:AE126"/>
    <mergeCell ref="AF125:AF126"/>
    <mergeCell ref="AG125:AG126"/>
    <mergeCell ref="AH125:AH126"/>
    <mergeCell ref="K125:K126"/>
    <mergeCell ref="L125:L126"/>
    <mergeCell ref="M125:M126"/>
    <mergeCell ref="N125:N126"/>
    <mergeCell ref="O125:O126"/>
    <mergeCell ref="AB125:AB126"/>
    <mergeCell ref="AM127:AM128"/>
    <mergeCell ref="V125:V126"/>
    <mergeCell ref="W125:W126"/>
    <mergeCell ref="T127:T128"/>
    <mergeCell ref="U127:U128"/>
    <mergeCell ref="V127:V128"/>
    <mergeCell ref="W127:W128"/>
    <mergeCell ref="A130:A132"/>
    <mergeCell ref="C130:C132"/>
    <mergeCell ref="D130:D132"/>
    <mergeCell ref="E130:E132"/>
    <mergeCell ref="F130:F132"/>
    <mergeCell ref="G130:G132"/>
    <mergeCell ref="H130:H132"/>
    <mergeCell ref="I130:I132"/>
    <mergeCell ref="J130:J132"/>
    <mergeCell ref="AG127:AG128"/>
    <mergeCell ref="AH127:AH128"/>
    <mergeCell ref="AI127:AI128"/>
    <mergeCell ref="AJ127:AJ128"/>
    <mergeCell ref="AK127:AK128"/>
    <mergeCell ref="AL127:AL128"/>
    <mergeCell ref="O127:O128"/>
    <mergeCell ref="AB127:AB128"/>
    <mergeCell ref="AC127:AC128"/>
    <mergeCell ref="AD127:AD128"/>
    <mergeCell ref="AE127:AE128"/>
    <mergeCell ref="AF127:AF128"/>
    <mergeCell ref="I127:I128"/>
    <mergeCell ref="J127:J128"/>
    <mergeCell ref="K127:K128"/>
    <mergeCell ref="L127:L128"/>
    <mergeCell ref="M127:M128"/>
    <mergeCell ref="N127:N128"/>
    <mergeCell ref="AI130:AI132"/>
    <mergeCell ref="AJ130:AJ132"/>
    <mergeCell ref="AK130:AK132"/>
    <mergeCell ref="AL130:AL132"/>
    <mergeCell ref="A125:A129"/>
    <mergeCell ref="AM130:AM132"/>
    <mergeCell ref="C133:C138"/>
    <mergeCell ref="I137:I138"/>
    <mergeCell ref="J137:J138"/>
    <mergeCell ref="K137:K138"/>
    <mergeCell ref="L137:L138"/>
    <mergeCell ref="AC130:AC132"/>
    <mergeCell ref="AD130:AD132"/>
    <mergeCell ref="AE130:AE132"/>
    <mergeCell ref="AF130:AF132"/>
    <mergeCell ref="AG130:AG132"/>
    <mergeCell ref="AH130:AH132"/>
    <mergeCell ref="K130:K132"/>
    <mergeCell ref="L130:L132"/>
    <mergeCell ref="M130:M132"/>
    <mergeCell ref="N130:N132"/>
    <mergeCell ref="O130:O132"/>
    <mergeCell ref="AB130:AB132"/>
    <mergeCell ref="AK137:AK138"/>
    <mergeCell ref="AL137:AL138"/>
    <mergeCell ref="AM137:AM138"/>
    <mergeCell ref="T130:T132"/>
    <mergeCell ref="U130:U132"/>
    <mergeCell ref="V130:V132"/>
    <mergeCell ref="W130:W132"/>
    <mergeCell ref="T137:T138"/>
    <mergeCell ref="U137:U138"/>
    <mergeCell ref="V137:V138"/>
    <mergeCell ref="W137:W138"/>
    <mergeCell ref="P130:P132"/>
    <mergeCell ref="Q130:Q132"/>
    <mergeCell ref="R130:R132"/>
    <mergeCell ref="F141:F142"/>
    <mergeCell ref="G141:G142"/>
    <mergeCell ref="H141:H142"/>
    <mergeCell ref="AE137:AE138"/>
    <mergeCell ref="AF137:AF138"/>
    <mergeCell ref="AG137:AG138"/>
    <mergeCell ref="AH137:AH138"/>
    <mergeCell ref="AI137:AI138"/>
    <mergeCell ref="AJ137:AJ138"/>
    <mergeCell ref="M137:M138"/>
    <mergeCell ref="N137:N138"/>
    <mergeCell ref="O137:O138"/>
    <mergeCell ref="AB137:AB138"/>
    <mergeCell ref="AC137:AC138"/>
    <mergeCell ref="AD137:AD138"/>
    <mergeCell ref="A137:A138"/>
    <mergeCell ref="D137:D138"/>
    <mergeCell ref="E137:E138"/>
    <mergeCell ref="F137:F138"/>
    <mergeCell ref="G137:G138"/>
    <mergeCell ref="H137:H138"/>
    <mergeCell ref="T141:T142"/>
    <mergeCell ref="U141:U142"/>
    <mergeCell ref="V141:V142"/>
    <mergeCell ref="W141:W142"/>
    <mergeCell ref="X141:X142"/>
    <mergeCell ref="Y141:Y142"/>
    <mergeCell ref="Z141:Z142"/>
    <mergeCell ref="AA141:AA142"/>
    <mergeCell ref="AM141:AM142"/>
    <mergeCell ref="A146:A147"/>
    <mergeCell ref="C146:C147"/>
    <mergeCell ref="D146:D147"/>
    <mergeCell ref="E146:E147"/>
    <mergeCell ref="F146:F147"/>
    <mergeCell ref="G146:G147"/>
    <mergeCell ref="H146:H147"/>
    <mergeCell ref="I146:I147"/>
    <mergeCell ref="J146:J147"/>
    <mergeCell ref="AG141:AG142"/>
    <mergeCell ref="AH141:AH142"/>
    <mergeCell ref="AI141:AI142"/>
    <mergeCell ref="AJ141:AJ142"/>
    <mergeCell ref="AK141:AK142"/>
    <mergeCell ref="AL141:AL142"/>
    <mergeCell ref="O141:O142"/>
    <mergeCell ref="AB141:AB142"/>
    <mergeCell ref="AC141:AC142"/>
    <mergeCell ref="AD141:AD142"/>
    <mergeCell ref="AE141:AE142"/>
    <mergeCell ref="AF141:AF142"/>
    <mergeCell ref="I141:I142"/>
    <mergeCell ref="J141:J142"/>
    <mergeCell ref="K141:K142"/>
    <mergeCell ref="L141:L142"/>
    <mergeCell ref="M141:M142"/>
    <mergeCell ref="N141:N142"/>
    <mergeCell ref="A141:A142"/>
    <mergeCell ref="C141:C142"/>
    <mergeCell ref="D141:D142"/>
    <mergeCell ref="E141:E142"/>
    <mergeCell ref="A156:AM156"/>
    <mergeCell ref="B157:AM157"/>
    <mergeCell ref="AI146:AI147"/>
    <mergeCell ref="AJ146:AJ147"/>
    <mergeCell ref="AK146:AK147"/>
    <mergeCell ref="AL146:AL147"/>
    <mergeCell ref="AM146:AM147"/>
    <mergeCell ref="B151:C151"/>
    <mergeCell ref="AE151:AI151"/>
    <mergeCell ref="AC146:AC147"/>
    <mergeCell ref="AD146:AD147"/>
    <mergeCell ref="AE146:AE147"/>
    <mergeCell ref="AF146:AF147"/>
    <mergeCell ref="AG146:AG147"/>
    <mergeCell ref="AH146:AH147"/>
    <mergeCell ref="K146:K147"/>
    <mergeCell ref="L146:L147"/>
    <mergeCell ref="M146:M147"/>
    <mergeCell ref="N146:N147"/>
    <mergeCell ref="O146:O147"/>
    <mergeCell ref="AB146:AB147"/>
    <mergeCell ref="T146:T147"/>
    <mergeCell ref="U146:U147"/>
    <mergeCell ref="V146:V147"/>
    <mergeCell ref="W146:W147"/>
    <mergeCell ref="X146:X147"/>
    <mergeCell ref="Y146:Y147"/>
    <mergeCell ref="Z146:Z147"/>
    <mergeCell ref="AA146:AA147"/>
  </mergeCells>
  <pageMargins left="0.25" right="0.25" top="0.75" bottom="0.75" header="0.3" footer="0.3"/>
  <pageSetup paperSize="8" scale="64" fitToHeight="0" orientation="landscape" r:id="rId1"/>
  <headerFooter alignWithMargins="0"/>
  <rowBreaks count="2" manualBreakCount="2">
    <brk id="65" max="38" man="1"/>
    <brk id="138" max="38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workbookViewId="0">
      <selection activeCell="I24" sqref="I24"/>
    </sheetView>
  </sheetViews>
  <sheetFormatPr defaultRowHeight="14.4" x14ac:dyDescent="0.3"/>
  <cols>
    <col min="1" max="1" width="6.5546875" bestFit="1" customWidth="1"/>
    <col min="2" max="2" width="73.33203125" bestFit="1" customWidth="1"/>
    <col min="3" max="3" width="15.5546875" customWidth="1"/>
    <col min="4" max="4" width="12.44140625" bestFit="1" customWidth="1"/>
    <col min="5" max="5" width="13.109375" bestFit="1" customWidth="1"/>
    <col min="6" max="6" width="13.109375" customWidth="1"/>
    <col min="7" max="8" width="13.5546875" bestFit="1" customWidth="1"/>
    <col min="9" max="9" width="13.88671875" customWidth="1"/>
    <col min="10" max="10" width="12.44140625" bestFit="1" customWidth="1"/>
    <col min="11" max="11" width="15.88671875" bestFit="1" customWidth="1"/>
    <col min="12" max="12" width="15.109375" customWidth="1"/>
    <col min="13" max="13" width="8.109375" customWidth="1"/>
  </cols>
  <sheetData>
    <row r="1" spans="1:13" ht="15" x14ac:dyDescent="0.25">
      <c r="D1" s="206">
        <f>558.36*1.0556</f>
        <v>589.40499999999997</v>
      </c>
      <c r="E1" s="343">
        <f>530*1.0535*1.0556</f>
        <v>589.4</v>
      </c>
      <c r="F1" s="376"/>
      <c r="G1" s="206">
        <f>558.36*1.0067</f>
        <v>562.101</v>
      </c>
      <c r="H1" s="206">
        <f>558.36*1.0343</f>
        <v>577.51199999999994</v>
      </c>
      <c r="I1" s="206">
        <f>558.36*1.0067</f>
        <v>562.101</v>
      </c>
      <c r="J1" s="206">
        <f>550*1.0067</f>
        <v>553.68499999999995</v>
      </c>
      <c r="K1" s="54">
        <f>589.4</f>
        <v>589.4</v>
      </c>
    </row>
    <row r="2" spans="1:13" ht="15" x14ac:dyDescent="0.25">
      <c r="F2" s="377"/>
    </row>
    <row r="3" spans="1:13" ht="16.2" thickBot="1" x14ac:dyDescent="0.35">
      <c r="C3" s="49" t="s">
        <v>140</v>
      </c>
      <c r="D3" s="50" t="s">
        <v>237</v>
      </c>
      <c r="E3" s="50" t="s">
        <v>329</v>
      </c>
      <c r="F3" s="378" t="s">
        <v>375</v>
      </c>
      <c r="G3" s="50" t="s">
        <v>238</v>
      </c>
      <c r="H3" s="50" t="s">
        <v>296</v>
      </c>
      <c r="I3" s="50" t="s">
        <v>376</v>
      </c>
      <c r="J3" s="50" t="s">
        <v>239</v>
      </c>
      <c r="K3" s="325" t="s">
        <v>341</v>
      </c>
      <c r="L3" s="48" t="s">
        <v>124</v>
      </c>
    </row>
    <row r="4" spans="1:13" ht="16.2" thickBot="1" x14ac:dyDescent="0.35">
      <c r="B4" s="45" t="s">
        <v>125</v>
      </c>
      <c r="C4" s="51">
        <f t="shared" ref="C4:C9" si="0">SUM(D4:J4)</f>
        <v>115416666.75</v>
      </c>
      <c r="D4" s="52">
        <f t="shared" ref="D4:K4" si="1">D5</f>
        <v>0</v>
      </c>
      <c r="E4" s="52">
        <f>E5</f>
        <v>0</v>
      </c>
      <c r="F4" s="379">
        <v>0</v>
      </c>
      <c r="G4" s="52">
        <f t="shared" si="1"/>
        <v>0</v>
      </c>
      <c r="H4" s="52">
        <f t="shared" si="1"/>
        <v>72237774.620000005</v>
      </c>
      <c r="I4" s="52">
        <f t="shared" si="1"/>
        <v>42730000</v>
      </c>
      <c r="J4" s="52">
        <f t="shared" si="1"/>
        <v>448892.13</v>
      </c>
      <c r="K4" s="55">
        <f t="shared" si="1"/>
        <v>0</v>
      </c>
      <c r="L4" s="53">
        <f t="shared" ref="L4:L18" si="2">SUM(D4:K4)</f>
        <v>115416666.75</v>
      </c>
    </row>
    <row r="5" spans="1:13" ht="16.2" thickBot="1" x14ac:dyDescent="0.35">
      <c r="B5" s="46" t="s">
        <v>137</v>
      </c>
      <c r="C5" s="51">
        <f t="shared" si="0"/>
        <v>115416666.75</v>
      </c>
      <c r="D5" s="52">
        <v>0</v>
      </c>
      <c r="E5" s="52">
        <v>0</v>
      </c>
      <c r="F5" s="379">
        <v>0</v>
      </c>
      <c r="G5" s="52">
        <v>0</v>
      </c>
      <c r="H5" s="204">
        <f>72237774.62</f>
        <v>72237774.620000005</v>
      </c>
      <c r="I5" s="379">
        <v>42730000</v>
      </c>
      <c r="J5" s="204">
        <f>448892.13</f>
        <v>448892.13</v>
      </c>
      <c r="K5" s="55">
        <v>0</v>
      </c>
      <c r="L5" s="53">
        <f t="shared" si="2"/>
        <v>115416666.75</v>
      </c>
    </row>
    <row r="6" spans="1:13" ht="16.2" thickBot="1" x14ac:dyDescent="0.35">
      <c r="B6" s="45" t="s">
        <v>126</v>
      </c>
      <c r="C6" s="51">
        <f t="shared" si="0"/>
        <v>20153018.300000001</v>
      </c>
      <c r="D6" s="52">
        <f>D7+D8</f>
        <v>1633417.56</v>
      </c>
      <c r="E6" s="52">
        <f>E7+E8</f>
        <v>239651.99</v>
      </c>
      <c r="F6" s="379">
        <f>F7+F8</f>
        <v>680151.78</v>
      </c>
      <c r="G6" s="52">
        <f t="shared" ref="G6" si="3">G7+G8</f>
        <v>1094635.5</v>
      </c>
      <c r="H6" s="52">
        <f t="shared" ref="H6:I6" si="4">H7+H8</f>
        <v>7316380.8200000003</v>
      </c>
      <c r="I6" s="52">
        <f t="shared" si="4"/>
        <v>7319623.1600000001</v>
      </c>
      <c r="J6" s="52">
        <f>J7+J8-0.01</f>
        <v>1869157.49</v>
      </c>
      <c r="K6" s="55">
        <f>K7+K8</f>
        <v>5448885.1200000001</v>
      </c>
      <c r="L6" s="53">
        <f t="shared" si="2"/>
        <v>25601903.420000002</v>
      </c>
      <c r="M6" s="347"/>
    </row>
    <row r="7" spans="1:13" ht="15.6" x14ac:dyDescent="0.3">
      <c r="B7" s="46" t="s">
        <v>127</v>
      </c>
      <c r="C7" s="366">
        <f t="shared" si="0"/>
        <v>18834596.550000001</v>
      </c>
      <c r="D7" s="204">
        <f>D25*D1-0.48</f>
        <v>1526558.47</v>
      </c>
      <c r="E7" s="204">
        <f>E25*E1+1.83</f>
        <v>223973.83</v>
      </c>
      <c r="F7" s="379">
        <v>635655.84</v>
      </c>
      <c r="G7" s="204">
        <f>G25*G1+0.02</f>
        <v>1023023.84</v>
      </c>
      <c r="H7" s="204">
        <f>H25*H1-3+0.01</f>
        <v>6837739.0899999999</v>
      </c>
      <c r="I7" s="204">
        <f>I25*I1+0.14</f>
        <v>6840769.3099999996</v>
      </c>
      <c r="J7" s="204">
        <f>J25*J1-0.01</f>
        <v>1746876.17</v>
      </c>
      <c r="K7" s="55">
        <f>K1*K25</f>
        <v>5092416</v>
      </c>
      <c r="L7" s="53">
        <f t="shared" si="2"/>
        <v>23927012.550000001</v>
      </c>
    </row>
    <row r="8" spans="1:13" ht="16.2" thickBot="1" x14ac:dyDescent="0.35">
      <c r="B8" s="46" t="s">
        <v>128</v>
      </c>
      <c r="C8" s="366">
        <f t="shared" si="0"/>
        <v>1318421.76</v>
      </c>
      <c r="D8" s="204">
        <f t="shared" ref="D8:K8" si="5">D7*0.07</f>
        <v>106859.09</v>
      </c>
      <c r="E8" s="204">
        <f>E7*0.07-0.01</f>
        <v>15678.16</v>
      </c>
      <c r="F8" s="379">
        <f>44495.94</f>
        <v>44495.94</v>
      </c>
      <c r="G8" s="204">
        <f>G7*0.07-0.01</f>
        <v>71611.66</v>
      </c>
      <c r="H8" s="204">
        <f>H7*0.07-0.01</f>
        <v>478641.73</v>
      </c>
      <c r="I8" s="204">
        <f>I7*0.07</f>
        <v>478853.85</v>
      </c>
      <c r="J8" s="204">
        <f t="shared" si="5"/>
        <v>122281.33</v>
      </c>
      <c r="K8" s="330">
        <f t="shared" si="5"/>
        <v>356469.12</v>
      </c>
      <c r="L8" s="53">
        <f t="shared" si="2"/>
        <v>1674890.88</v>
      </c>
    </row>
    <row r="9" spans="1:13" ht="16.2" thickBot="1" x14ac:dyDescent="0.35">
      <c r="A9" s="211">
        <f>C9/C6</f>
        <v>0.2311</v>
      </c>
      <c r="B9" s="45" t="s">
        <v>129</v>
      </c>
      <c r="C9" s="366">
        <f t="shared" si="0"/>
        <v>4656814.0999999996</v>
      </c>
      <c r="D9" s="204">
        <f>D6*0.26-0.01</f>
        <v>424688.56</v>
      </c>
      <c r="E9" s="204">
        <f>51335.97</f>
        <v>51335.97</v>
      </c>
      <c r="F9" s="379">
        <f>F6*0.22</f>
        <v>149633.39000000001</v>
      </c>
      <c r="G9" s="204">
        <f>G6*0.28</f>
        <v>306497.94</v>
      </c>
      <c r="H9" s="204">
        <f>H6*0.2</f>
        <v>1463276.16</v>
      </c>
      <c r="I9" s="204">
        <f>I6*0.24-0.01</f>
        <v>1756709.55</v>
      </c>
      <c r="J9" s="204">
        <f>J6*0.27+0.01</f>
        <v>504672.53</v>
      </c>
      <c r="K9" s="55">
        <f>K6*0.215</f>
        <v>1171510.3</v>
      </c>
      <c r="L9" s="53">
        <f t="shared" si="2"/>
        <v>5828324.4000000004</v>
      </c>
    </row>
    <row r="10" spans="1:13" ht="16.2" thickBot="1" x14ac:dyDescent="0.35">
      <c r="B10" s="45" t="s">
        <v>130</v>
      </c>
      <c r="C10" s="51">
        <f>C11+C12</f>
        <v>19145367.359999999</v>
      </c>
      <c r="D10" s="52">
        <f>D11+D12</f>
        <v>1551746.67</v>
      </c>
      <c r="E10" s="52">
        <f>E11+E12</f>
        <v>227669.38</v>
      </c>
      <c r="F10" s="379">
        <f>F11+F12</f>
        <v>646144.18999999994</v>
      </c>
      <c r="G10" s="52">
        <f t="shared" ref="G10" si="6">G11+G12</f>
        <v>1039903.72</v>
      </c>
      <c r="H10" s="52">
        <f t="shared" ref="H10:K10" si="7">H11+H12</f>
        <v>6950561.7699999996</v>
      </c>
      <c r="I10" s="52">
        <f t="shared" si="7"/>
        <v>6953642</v>
      </c>
      <c r="J10" s="52">
        <f t="shared" si="7"/>
        <v>1775699.63</v>
      </c>
      <c r="K10" s="55">
        <f t="shared" si="7"/>
        <v>5721329.3799999999</v>
      </c>
      <c r="L10" s="53">
        <f t="shared" si="2"/>
        <v>24866696.739999998</v>
      </c>
    </row>
    <row r="11" spans="1:13" ht="15.6" x14ac:dyDescent="0.3">
      <c r="B11" s="46" t="s">
        <v>131</v>
      </c>
      <c r="C11" s="366">
        <f>SUM(D11:J11)</f>
        <v>16525475</v>
      </c>
      <c r="D11" s="204">
        <f>D6*0.82-0.01</f>
        <v>1339402.3899999999</v>
      </c>
      <c r="E11" s="344">
        <f>E6*0.82</f>
        <v>196514.63</v>
      </c>
      <c r="F11" s="379">
        <f>(F7+F8)*0.82</f>
        <v>557724.46</v>
      </c>
      <c r="G11" s="204">
        <f t="shared" ref="G11" si="8">G6*0.82</f>
        <v>897601.11</v>
      </c>
      <c r="H11" s="204">
        <f t="shared" ref="H11" si="9">H6*0.82</f>
        <v>5999432.2699999996</v>
      </c>
      <c r="I11" s="204">
        <f>I6*0.82</f>
        <v>6002090.9900000002</v>
      </c>
      <c r="J11" s="204">
        <f>J6*0.82+0.01</f>
        <v>1532709.15</v>
      </c>
      <c r="K11" s="55">
        <f>K6*0.9</f>
        <v>4903996.6100000003</v>
      </c>
      <c r="L11" s="179">
        <f t="shared" si="2"/>
        <v>21429471.609999999</v>
      </c>
    </row>
    <row r="12" spans="1:13" ht="16.2" thickBot="1" x14ac:dyDescent="0.35">
      <c r="B12" s="46" t="s">
        <v>132</v>
      </c>
      <c r="C12" s="366">
        <f>SUM(D12:J12)</f>
        <v>2619892.36</v>
      </c>
      <c r="D12" s="204">
        <f t="shared" ref="D12:I12" si="10">D6*0.13</f>
        <v>212344.28</v>
      </c>
      <c r="E12" s="344">
        <f>E6*0.13-0.01</f>
        <v>31154.75</v>
      </c>
      <c r="F12" s="379">
        <f>(F7+F8)*0.13</f>
        <v>88419.73</v>
      </c>
      <c r="G12" s="204">
        <f>G6*0.13-0.01</f>
        <v>142302.60999999999</v>
      </c>
      <c r="H12" s="204">
        <f>H6*0.13-0.01</f>
        <v>951129.5</v>
      </c>
      <c r="I12" s="204">
        <f t="shared" si="10"/>
        <v>951551.01</v>
      </c>
      <c r="J12" s="204">
        <f>J6*0.13+0.01</f>
        <v>242990.48</v>
      </c>
      <c r="K12" s="55">
        <f t="shared" ref="K12" si="11">K6*0.15</f>
        <v>817332.77</v>
      </c>
      <c r="L12" s="179">
        <f t="shared" si="2"/>
        <v>3437225.13</v>
      </c>
    </row>
    <row r="13" spans="1:13" ht="16.2" thickBot="1" x14ac:dyDescent="0.35">
      <c r="B13" s="45" t="s">
        <v>133</v>
      </c>
      <c r="C13" s="51">
        <f t="shared" ref="C13:I13" si="12">C10+C9+C6+C4</f>
        <v>159371866.50999999</v>
      </c>
      <c r="D13" s="52">
        <f t="shared" si="12"/>
        <v>3609852.79</v>
      </c>
      <c r="E13" s="52">
        <f>E10+E9+E6+E4</f>
        <v>518657.34</v>
      </c>
      <c r="F13" s="379">
        <f>F10+F9+F6+F4</f>
        <v>1475929.36</v>
      </c>
      <c r="G13" s="52">
        <f t="shared" ref="G13" si="13">G10+G9+G6+G4</f>
        <v>2441037.16</v>
      </c>
      <c r="H13" s="52">
        <f t="shared" si="12"/>
        <v>87967993.370000005</v>
      </c>
      <c r="I13" s="52">
        <f t="shared" si="12"/>
        <v>58759974.710000001</v>
      </c>
      <c r="J13" s="52">
        <f>J10+J9+J6+J4+0.01</f>
        <v>4598421.79</v>
      </c>
      <c r="K13" s="55">
        <f t="shared" ref="K13" si="14">K10+K9+K6+K4</f>
        <v>12341724.800000001</v>
      </c>
      <c r="L13" s="53">
        <f t="shared" si="2"/>
        <v>171713591.31999999</v>
      </c>
    </row>
    <row r="14" spans="1:13" ht="16.2" thickBot="1" x14ac:dyDescent="0.35">
      <c r="B14" s="45" t="s">
        <v>134</v>
      </c>
      <c r="C14" s="51">
        <f>SUM(D14:J14)</f>
        <v>3616387.87</v>
      </c>
      <c r="D14" s="52">
        <f>D15+D16</f>
        <v>0</v>
      </c>
      <c r="E14" s="52">
        <f>E15+E16</f>
        <v>0</v>
      </c>
      <c r="F14" s="379">
        <v>0</v>
      </c>
      <c r="G14" s="52">
        <f t="shared" ref="G14" si="15">G15+G16</f>
        <v>0</v>
      </c>
      <c r="H14" s="52">
        <f t="shared" ref="H14:K14" si="16">H15+H16</f>
        <v>0</v>
      </c>
      <c r="I14" s="52">
        <f t="shared" si="16"/>
        <v>3593280</v>
      </c>
      <c r="J14" s="52">
        <f t="shared" si="16"/>
        <v>23107.87</v>
      </c>
      <c r="K14" s="55">
        <f t="shared" si="16"/>
        <v>32383333.329999998</v>
      </c>
      <c r="L14" s="53">
        <f t="shared" si="2"/>
        <v>35999721.200000003</v>
      </c>
    </row>
    <row r="15" spans="1:13" ht="15.75" hidden="1" x14ac:dyDescent="0.25">
      <c r="B15" s="46" t="s">
        <v>138</v>
      </c>
      <c r="C15" s="51">
        <f>SUM(D15:J15)</f>
        <v>0</v>
      </c>
      <c r="D15" s="52">
        <v>0</v>
      </c>
      <c r="E15" s="52">
        <v>0</v>
      </c>
      <c r="F15" s="379"/>
      <c r="G15" s="52">
        <v>0</v>
      </c>
      <c r="H15" s="52">
        <v>0</v>
      </c>
      <c r="I15" s="52">
        <v>0</v>
      </c>
      <c r="J15" s="52">
        <v>0</v>
      </c>
      <c r="K15" s="55">
        <v>0</v>
      </c>
      <c r="L15" s="53">
        <f t="shared" si="2"/>
        <v>0</v>
      </c>
    </row>
    <row r="16" spans="1:13" ht="16.2" thickBot="1" x14ac:dyDescent="0.35">
      <c r="B16" s="46" t="s">
        <v>139</v>
      </c>
      <c r="C16" s="51">
        <f>SUM(D16:J16)</f>
        <v>3616387.87</v>
      </c>
      <c r="D16" s="52">
        <v>0</v>
      </c>
      <c r="E16" s="52">
        <v>0</v>
      </c>
      <c r="F16" s="379">
        <v>0</v>
      </c>
      <c r="G16" s="52">
        <v>0</v>
      </c>
      <c r="H16" s="52">
        <v>0</v>
      </c>
      <c r="I16" s="379">
        <v>3593280</v>
      </c>
      <c r="J16" s="204">
        <f>23107.87</f>
        <v>23107.87</v>
      </c>
      <c r="K16" s="55">
        <f>K20*58%</f>
        <v>32383333.329999998</v>
      </c>
      <c r="L16" s="53">
        <f t="shared" si="2"/>
        <v>35999721.200000003</v>
      </c>
    </row>
    <row r="17" spans="2:12" ht="16.2" thickBot="1" x14ac:dyDescent="0.35">
      <c r="B17" s="45" t="s">
        <v>135</v>
      </c>
      <c r="C17" s="51">
        <f t="shared" ref="C17:J17" si="17">C13+C14</f>
        <v>162988254.38</v>
      </c>
      <c r="D17" s="204">
        <f t="shared" si="17"/>
        <v>3609852.79</v>
      </c>
      <c r="E17" s="52">
        <f>E13+E14</f>
        <v>518657.34</v>
      </c>
      <c r="F17" s="379">
        <f>F13+F14</f>
        <v>1475929.36</v>
      </c>
      <c r="G17" s="52">
        <f t="shared" ref="G17" si="18">G13+G14</f>
        <v>2441037.16</v>
      </c>
      <c r="H17" s="204">
        <f t="shared" si="17"/>
        <v>87967993.370000005</v>
      </c>
      <c r="I17" s="204">
        <f t="shared" si="17"/>
        <v>62353254.710000001</v>
      </c>
      <c r="J17" s="204">
        <f t="shared" si="17"/>
        <v>4621529.66</v>
      </c>
      <c r="K17" s="55">
        <f>K14+K13</f>
        <v>44725058.130000003</v>
      </c>
      <c r="L17" s="53">
        <f t="shared" si="2"/>
        <v>207713312.52000001</v>
      </c>
    </row>
    <row r="18" spans="2:12" ht="16.2" thickBot="1" x14ac:dyDescent="0.35">
      <c r="B18" s="45" t="s">
        <v>219</v>
      </c>
      <c r="C18" s="51">
        <f>SUM(D18:J18)</f>
        <v>4799192.21</v>
      </c>
      <c r="D18" s="204">
        <v>974548.25</v>
      </c>
      <c r="E18" s="204">
        <v>81342.66</v>
      </c>
      <c r="F18" s="379">
        <v>0</v>
      </c>
      <c r="G18" s="204">
        <f>2855769.6</f>
        <v>2855769.6</v>
      </c>
      <c r="H18" s="52">
        <v>0</v>
      </c>
      <c r="I18" s="52">
        <v>0</v>
      </c>
      <c r="J18" s="52">
        <f>2195847.22-'Бизнес-план 19 190117'!L18</f>
        <v>887531.7</v>
      </c>
      <c r="K18" s="55">
        <f>K20-K17</f>
        <v>11108275.199999999</v>
      </c>
      <c r="L18" s="53">
        <f t="shared" si="2"/>
        <v>15907467.41</v>
      </c>
    </row>
    <row r="19" spans="2:12" ht="15.6" x14ac:dyDescent="0.3">
      <c r="C19" s="51"/>
      <c r="D19" s="51"/>
      <c r="E19" s="52"/>
      <c r="F19" s="379"/>
      <c r="G19" s="52"/>
      <c r="H19" s="52"/>
      <c r="I19" s="52"/>
      <c r="J19" s="52"/>
      <c r="K19" s="55"/>
      <c r="L19" s="53"/>
    </row>
    <row r="20" spans="2:12" ht="15.6" x14ac:dyDescent="0.3">
      <c r="B20" s="47" t="s">
        <v>328</v>
      </c>
      <c r="C20" s="51">
        <f>SUM(D20:J20)</f>
        <v>29359061.359999999</v>
      </c>
      <c r="D20" s="204">
        <v>6100000</v>
      </c>
      <c r="E20" s="204">
        <f>600000</f>
        <v>600000</v>
      </c>
      <c r="F20" s="379">
        <v>0</v>
      </c>
      <c r="G20" s="204">
        <v>17150000</v>
      </c>
      <c r="H20" s="52">
        <v>0</v>
      </c>
      <c r="I20" s="52">
        <v>0</v>
      </c>
      <c r="J20" s="204">
        <f>J17+J18</f>
        <v>5509061.3600000003</v>
      </c>
      <c r="K20" s="205">
        <f>(15000000*3+22000000)*(1-0.2/1.2)</f>
        <v>55833333.329999998</v>
      </c>
      <c r="L20" s="53">
        <f>SUM(D20:K20)</f>
        <v>85192394.689999998</v>
      </c>
    </row>
    <row r="21" spans="2:12" ht="15" hidden="1" x14ac:dyDescent="0.25">
      <c r="D21" s="151"/>
      <c r="F21" s="377"/>
      <c r="J21" s="52"/>
      <c r="K21" s="324"/>
    </row>
    <row r="22" spans="2:12" ht="15" hidden="1" x14ac:dyDescent="0.25">
      <c r="D22" s="152">
        <f>IF(D18&gt;0,D18/D20*100,0)</f>
        <v>15.98</v>
      </c>
      <c r="E22" s="54">
        <f>IF(E18&gt;0,E18/E20*100,0)</f>
        <v>13.56</v>
      </c>
      <c r="F22" s="376"/>
      <c r="G22" s="54">
        <f t="shared" ref="G22" si="19">IF(G18&gt;0,G18/G20*100,0)</f>
        <v>16.649999999999999</v>
      </c>
      <c r="H22" s="54">
        <f t="shared" ref="H22:L22" si="20">IF(H18&gt;0,H18/H20*100,0)</f>
        <v>0</v>
      </c>
      <c r="I22" s="54">
        <f t="shared" si="20"/>
        <v>0</v>
      </c>
      <c r="J22" s="52">
        <f t="shared" si="20"/>
        <v>16.11</v>
      </c>
      <c r="K22" s="326">
        <f t="shared" si="20"/>
        <v>19.899999999999999</v>
      </c>
      <c r="L22" s="54">
        <f t="shared" si="20"/>
        <v>18.670000000000002</v>
      </c>
    </row>
    <row r="23" spans="2:12" x14ac:dyDescent="0.3">
      <c r="F23" s="377"/>
      <c r="K23" s="324"/>
    </row>
    <row r="24" spans="2:12" ht="15.6" x14ac:dyDescent="0.3">
      <c r="B24" s="56" t="s">
        <v>141</v>
      </c>
      <c r="C24" s="51">
        <f>C25/160</f>
        <v>199.72</v>
      </c>
      <c r="D24" s="52">
        <f>D25/160</f>
        <v>16.190000000000001</v>
      </c>
      <c r="E24" s="52">
        <f>E25/160</f>
        <v>2.38</v>
      </c>
      <c r="F24" s="379"/>
      <c r="G24" s="52">
        <f t="shared" ref="G24:J24" si="21">G25/160</f>
        <v>11.38</v>
      </c>
      <c r="H24" s="52">
        <f t="shared" si="21"/>
        <v>74</v>
      </c>
      <c r="I24" s="52">
        <f t="shared" si="21"/>
        <v>76.06</v>
      </c>
      <c r="J24" s="52">
        <f t="shared" si="21"/>
        <v>19.72</v>
      </c>
      <c r="K24" s="55">
        <f>K25/160</f>
        <v>54</v>
      </c>
      <c r="L24" s="53">
        <f>L25/160</f>
        <v>253.72</v>
      </c>
    </row>
    <row r="25" spans="2:12" ht="15.6" x14ac:dyDescent="0.3">
      <c r="B25" s="56" t="s">
        <v>287</v>
      </c>
      <c r="C25" s="182">
        <f>SUM(D25:J25)</f>
        <v>31955</v>
      </c>
      <c r="D25" s="203">
        <v>2590</v>
      </c>
      <c r="E25" s="203">
        <f>160+220</f>
        <v>380</v>
      </c>
      <c r="F25" s="380">
        <v>0</v>
      </c>
      <c r="G25" s="203">
        <v>1820</v>
      </c>
      <c r="H25" s="203">
        <v>11840</v>
      </c>
      <c r="I25" s="203">
        <v>12170</v>
      </c>
      <c r="J25" s="203">
        <v>3155</v>
      </c>
      <c r="K25" s="327">
        <f>4.5*12*160</f>
        <v>8640</v>
      </c>
      <c r="L25" s="184">
        <f>SUM(D25:K25)</f>
        <v>40595</v>
      </c>
    </row>
    <row r="26" spans="2:12" x14ac:dyDescent="0.3">
      <c r="F26" s="377"/>
      <c r="K26" s="324"/>
    </row>
    <row r="27" spans="2:12" ht="15.6" x14ac:dyDescent="0.3">
      <c r="B27" s="56" t="s">
        <v>142</v>
      </c>
      <c r="C27" s="51">
        <f>SUM(D27:J27)</f>
        <v>19379487.059999999</v>
      </c>
      <c r="D27" s="204">
        <f>D17-D11+'Бизнес-план 19 190117'!F17-'Бизнес-план 19 190117'!F11</f>
        <v>3183824.61</v>
      </c>
      <c r="E27" s="204">
        <f>E17-E11</f>
        <v>322142.71000000002</v>
      </c>
      <c r="F27" s="379">
        <v>0</v>
      </c>
      <c r="G27" s="204">
        <f>G17-G11+'Бизнес-план 19 190117'!J17-'Бизнес-план 19 190117'!J11</f>
        <v>8697125.3599999994</v>
      </c>
      <c r="H27" s="52"/>
      <c r="I27" s="52"/>
      <c r="J27" s="204">
        <f>J17-J11+'Бизнес-план 19 190117'!L17-'Бизнес-план 19 190117'!L11</f>
        <v>7176394.3799999999</v>
      </c>
      <c r="K27" s="55">
        <f t="shared" ref="K27" si="22">K17-K11</f>
        <v>39821061.520000003</v>
      </c>
      <c r="L27" s="53">
        <f>SUM(D27:K27)</f>
        <v>59200548.579999998</v>
      </c>
    </row>
    <row r="29" spans="2:12" x14ac:dyDescent="0.3">
      <c r="B29" s="390" t="s">
        <v>381</v>
      </c>
      <c r="C29" s="379">
        <f>C25*(D1+0.005)</f>
        <v>18834596.550000001</v>
      </c>
      <c r="D29" s="204">
        <f>D20-D27-D11-'Бизнес-план 19 190117'!F11</f>
        <v>974548.25</v>
      </c>
      <c r="E29" s="204">
        <f>E20-E27-E11</f>
        <v>81342.66</v>
      </c>
      <c r="F29" s="204"/>
      <c r="G29" s="204">
        <f>G20-G27-G11-'Бизнес-план 19 190117'!J11</f>
        <v>2855769.6</v>
      </c>
      <c r="H29" s="52"/>
      <c r="I29" s="52"/>
      <c r="J29" s="204">
        <f>13630000-J27-J11-'Бизнес-план 19 190117'!L11</f>
        <v>2195847.2200000002</v>
      </c>
      <c r="K29" s="52"/>
    </row>
    <row r="31" spans="2:12" x14ac:dyDescent="0.3">
      <c r="C31" s="58"/>
      <c r="D31" s="181"/>
      <c r="E31" s="180"/>
      <c r="F31" s="180"/>
      <c r="G31" s="180"/>
      <c r="H31" s="180"/>
      <c r="I31" s="180"/>
      <c r="J31" s="180"/>
      <c r="K31" s="391">
        <f>K18/K20</f>
        <v>0.19900000000000001</v>
      </c>
    </row>
    <row r="32" spans="2:12" x14ac:dyDescent="0.3">
      <c r="C32" s="58"/>
      <c r="E32" s="58"/>
      <c r="F32" s="58"/>
    </row>
    <row r="33" spans="3:6" x14ac:dyDescent="0.3">
      <c r="C33" s="58"/>
      <c r="E33" s="58"/>
      <c r="F33" s="58"/>
    </row>
    <row r="34" spans="3:6" x14ac:dyDescent="0.3">
      <c r="C34" s="370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F23" sqref="F23"/>
    </sheetView>
  </sheetViews>
  <sheetFormatPr defaultRowHeight="14.4" x14ac:dyDescent="0.3"/>
  <cols>
    <col min="1" max="1" width="6.5546875" bestFit="1" customWidth="1"/>
    <col min="2" max="2" width="73.33203125" bestFit="1" customWidth="1"/>
    <col min="3" max="3" width="15.5546875" customWidth="1"/>
    <col min="4" max="4" width="13.5546875" bestFit="1" customWidth="1"/>
    <col min="5" max="5" width="13.5546875" customWidth="1"/>
    <col min="6" max="7" width="13.88671875" customWidth="1"/>
    <col min="8" max="8" width="15.88671875" bestFit="1" customWidth="1"/>
    <col min="9" max="9" width="15.109375" customWidth="1"/>
    <col min="10" max="10" width="6.44140625" customWidth="1"/>
    <col min="11" max="11" width="6" bestFit="1" customWidth="1"/>
  </cols>
  <sheetData>
    <row r="1" spans="1:11" ht="15" x14ac:dyDescent="0.25">
      <c r="C1" s="151"/>
      <c r="D1" s="206">
        <f>558.36*1.0067*1.0556</f>
        <v>593.35400000000004</v>
      </c>
      <c r="E1" s="376"/>
      <c r="F1" s="206">
        <f>558.36*1.0556</f>
        <v>589.40499999999997</v>
      </c>
      <c r="G1" s="206">
        <f>558.36*1.0556</f>
        <v>589.40499999999997</v>
      </c>
      <c r="H1" s="152">
        <f>558.36*1.0556*1.0556</f>
        <v>622.17999999999995</v>
      </c>
      <c r="I1" s="151"/>
    </row>
    <row r="2" spans="1:11" ht="15" x14ac:dyDescent="0.25">
      <c r="C2" s="151"/>
      <c r="D2" s="333"/>
      <c r="E2" s="377"/>
      <c r="F2" s="333"/>
      <c r="G2" s="333"/>
      <c r="H2" s="151"/>
      <c r="I2" s="151"/>
    </row>
    <row r="3" spans="1:11" ht="16.2" thickBot="1" x14ac:dyDescent="0.35">
      <c r="C3" s="287" t="s">
        <v>140</v>
      </c>
      <c r="D3" s="50" t="s">
        <v>296</v>
      </c>
      <c r="E3" s="378" t="s">
        <v>375</v>
      </c>
      <c r="F3" s="50" t="s">
        <v>376</v>
      </c>
      <c r="G3" s="50" t="s">
        <v>377</v>
      </c>
      <c r="H3" s="325" t="s">
        <v>122</v>
      </c>
      <c r="I3" s="287" t="s">
        <v>124</v>
      </c>
    </row>
    <row r="4" spans="1:11" ht="16.2" thickBot="1" x14ac:dyDescent="0.35">
      <c r="B4" s="45" t="s">
        <v>125</v>
      </c>
      <c r="C4" s="289">
        <f t="shared" ref="C4:C9" si="0">SUM(D4:G4)</f>
        <v>101430593</v>
      </c>
      <c r="D4" s="52">
        <f t="shared" ref="D4:H4" si="1">D5</f>
        <v>101430593</v>
      </c>
      <c r="E4" s="379">
        <v>0</v>
      </c>
      <c r="F4" s="52">
        <f t="shared" si="1"/>
        <v>0</v>
      </c>
      <c r="G4" s="52">
        <f t="shared" si="1"/>
        <v>0</v>
      </c>
      <c r="H4" s="55">
        <f t="shared" si="1"/>
        <v>0</v>
      </c>
      <c r="I4" s="289">
        <f t="shared" ref="I4:I18" si="2">SUM(D4:H4)</f>
        <v>101430593</v>
      </c>
    </row>
    <row r="5" spans="1:11" ht="16.2" thickBot="1" x14ac:dyDescent="0.35">
      <c r="B5" s="46" t="s">
        <v>137</v>
      </c>
      <c r="C5" s="289">
        <f t="shared" si="0"/>
        <v>101430593</v>
      </c>
      <c r="D5" s="204">
        <f>101430593</f>
        <v>101430593</v>
      </c>
      <c r="E5" s="379">
        <v>0</v>
      </c>
      <c r="F5" s="52">
        <v>0</v>
      </c>
      <c r="G5" s="52">
        <v>0</v>
      </c>
      <c r="H5" s="55">
        <v>0</v>
      </c>
      <c r="I5" s="289">
        <f t="shared" si="2"/>
        <v>101430593</v>
      </c>
    </row>
    <row r="6" spans="1:11" ht="16.2" thickBot="1" x14ac:dyDescent="0.35">
      <c r="B6" s="45" t="s">
        <v>126</v>
      </c>
      <c r="C6" s="289">
        <f t="shared" si="0"/>
        <v>19279771.030000001</v>
      </c>
      <c r="D6" s="52">
        <f t="shared" ref="D6:G6" si="3">D7+D8</f>
        <v>16291241.34</v>
      </c>
      <c r="E6" s="379">
        <f>E7+E8</f>
        <v>907341.3</v>
      </c>
      <c r="F6" s="52">
        <f t="shared" ref="F6" si="4">F7+F8</f>
        <v>561290.19999999995</v>
      </c>
      <c r="G6" s="52">
        <f t="shared" si="3"/>
        <v>1519898.19</v>
      </c>
      <c r="H6" s="55">
        <f>H7+H8</f>
        <v>5751929.6600000001</v>
      </c>
      <c r="I6" s="289">
        <f t="shared" si="2"/>
        <v>25031700.690000001</v>
      </c>
      <c r="J6" s="347"/>
      <c r="K6" s="58"/>
    </row>
    <row r="7" spans="1:11" ht="15.6" x14ac:dyDescent="0.3">
      <c r="B7" s="46" t="s">
        <v>127</v>
      </c>
      <c r="C7" s="366">
        <f t="shared" si="0"/>
        <v>18018477.600000001</v>
      </c>
      <c r="D7" s="204">
        <f>D25*D1-4.43</f>
        <v>15225459.210000001</v>
      </c>
      <c r="E7" s="379">
        <f>847982.51</f>
        <v>847982.51</v>
      </c>
      <c r="F7" s="204">
        <f>F25*F1-0.17</f>
        <v>524570.28</v>
      </c>
      <c r="G7" s="204">
        <f>G25*G1-0.45</f>
        <v>1420465.6</v>
      </c>
      <c r="H7" s="55">
        <f>H1*H25</f>
        <v>5375635.2000000002</v>
      </c>
      <c r="I7" s="289">
        <f t="shared" si="2"/>
        <v>23394112.800000001</v>
      </c>
      <c r="K7" s="153"/>
    </row>
    <row r="8" spans="1:11" ht="16.2" thickBot="1" x14ac:dyDescent="0.35">
      <c r="B8" s="46" t="s">
        <v>128</v>
      </c>
      <c r="C8" s="366">
        <f t="shared" si="0"/>
        <v>1261293.43</v>
      </c>
      <c r="D8" s="204">
        <f>D7*0.07-0.01</f>
        <v>1065782.1299999999</v>
      </c>
      <c r="E8" s="379">
        <f>59358.79</f>
        <v>59358.79</v>
      </c>
      <c r="F8" s="204">
        <f>F7*0.07</f>
        <v>36719.919999999998</v>
      </c>
      <c r="G8" s="204">
        <f>G7*0.07</f>
        <v>99432.59</v>
      </c>
      <c r="H8" s="330">
        <f t="shared" ref="H8" si="5">H7*0.07</f>
        <v>376294.46</v>
      </c>
      <c r="I8" s="289">
        <f t="shared" si="2"/>
        <v>1637587.89</v>
      </c>
      <c r="K8" s="54"/>
    </row>
    <row r="9" spans="1:11" ht="16.2" thickBot="1" x14ac:dyDescent="0.35">
      <c r="A9" s="211">
        <f>C9/C6</f>
        <v>0.2457</v>
      </c>
      <c r="B9" s="45" t="s">
        <v>129</v>
      </c>
      <c r="C9" s="366">
        <f t="shared" si="0"/>
        <v>4737939.9400000004</v>
      </c>
      <c r="D9" s="52">
        <f>D6*0.24</f>
        <v>3909897.92</v>
      </c>
      <c r="E9" s="379">
        <f>(E7+E8)*0.24</f>
        <v>217761.91</v>
      </c>
      <c r="F9" s="204">
        <f>F6*0.302</f>
        <v>169509.64</v>
      </c>
      <c r="G9" s="204">
        <f>G6*0.29-0.01</f>
        <v>440770.47</v>
      </c>
      <c r="H9" s="55">
        <f>H6*0.215</f>
        <v>1236664.8799999999</v>
      </c>
      <c r="I9" s="289">
        <f t="shared" si="2"/>
        <v>5974604.8200000003</v>
      </c>
    </row>
    <row r="10" spans="1:11" ht="16.2" thickBot="1" x14ac:dyDescent="0.35">
      <c r="B10" s="45" t="s">
        <v>130</v>
      </c>
      <c r="C10" s="366">
        <f t="shared" ref="C10:H10" si="6">C11+C12</f>
        <v>18315782.440000001</v>
      </c>
      <c r="D10" s="52">
        <f t="shared" si="6"/>
        <v>15476679.26</v>
      </c>
      <c r="E10" s="379">
        <f>E11+E12</f>
        <v>861974.24</v>
      </c>
      <c r="F10" s="52">
        <f t="shared" ref="F10" si="7">F11+F12</f>
        <v>533225.68000000005</v>
      </c>
      <c r="G10" s="52">
        <f t="shared" si="6"/>
        <v>1443903.26</v>
      </c>
      <c r="H10" s="55">
        <f t="shared" si="6"/>
        <v>6039526.1399999997</v>
      </c>
      <c r="I10" s="289">
        <f t="shared" si="2"/>
        <v>24355308.579999998</v>
      </c>
    </row>
    <row r="11" spans="1:11" ht="15.6" x14ac:dyDescent="0.3">
      <c r="B11" s="46" t="s">
        <v>131</v>
      </c>
      <c r="C11" s="366">
        <f>SUM(D11:G11)</f>
        <v>15809412.23</v>
      </c>
      <c r="D11" s="344">
        <f>D6*0.82-0.01</f>
        <v>13358817.890000001</v>
      </c>
      <c r="E11" s="379">
        <f>(E7+E8)*0.82</f>
        <v>744019.87</v>
      </c>
      <c r="F11" s="344">
        <f>F6*0.82</f>
        <v>460257.96</v>
      </c>
      <c r="G11" s="344">
        <f>G6*0.82-0.01</f>
        <v>1246316.51</v>
      </c>
      <c r="H11" s="55">
        <f>H6*0.9</f>
        <v>5176736.6900000004</v>
      </c>
      <c r="I11" s="289">
        <f t="shared" si="2"/>
        <v>20986148.920000002</v>
      </c>
      <c r="K11" s="58"/>
    </row>
    <row r="12" spans="1:11" ht="16.2" thickBot="1" x14ac:dyDescent="0.35">
      <c r="B12" s="46" t="s">
        <v>132</v>
      </c>
      <c r="C12" s="366">
        <f>SUM(D12:G12)</f>
        <v>2506370.21</v>
      </c>
      <c r="D12" s="344">
        <f t="shared" ref="D12" si="8">D6*0.13</f>
        <v>2117861.37</v>
      </c>
      <c r="E12" s="379">
        <f>(E7+E8)*0.13</f>
        <v>117954.37</v>
      </c>
      <c r="F12" s="344">
        <f>F6*0.13-0.01</f>
        <v>72967.72</v>
      </c>
      <c r="G12" s="344">
        <f>G6*0.13-0.01</f>
        <v>197586.75</v>
      </c>
      <c r="H12" s="55">
        <f t="shared" ref="H12" si="9">H6*0.15</f>
        <v>862789.45</v>
      </c>
      <c r="I12" s="289">
        <f t="shared" si="2"/>
        <v>3369159.66</v>
      </c>
      <c r="K12" s="58"/>
    </row>
    <row r="13" spans="1:11" ht="16.2" thickBot="1" x14ac:dyDescent="0.35">
      <c r="B13" s="45" t="s">
        <v>133</v>
      </c>
      <c r="C13" s="366">
        <f t="shared" ref="C13:H13" si="10">C10+C9+C6+C4</f>
        <v>143764086.41</v>
      </c>
      <c r="D13" s="52">
        <f t="shared" si="10"/>
        <v>137108411.52000001</v>
      </c>
      <c r="E13" s="379">
        <f>E10+E9+E6+E4</f>
        <v>1987077.45</v>
      </c>
      <c r="F13" s="52">
        <f t="shared" ref="F13" si="11">F10+F9+F6+F4</f>
        <v>1264025.52</v>
      </c>
      <c r="G13" s="52">
        <f t="shared" si="10"/>
        <v>3404571.92</v>
      </c>
      <c r="H13" s="55">
        <f t="shared" si="10"/>
        <v>13028120.68</v>
      </c>
      <c r="I13" s="289">
        <f t="shared" si="2"/>
        <v>156792207.09</v>
      </c>
      <c r="K13" s="58"/>
    </row>
    <row r="14" spans="1:11" ht="16.2" thickBot="1" x14ac:dyDescent="0.35">
      <c r="B14" s="45" t="s">
        <v>134</v>
      </c>
      <c r="C14" s="289">
        <f>SUM(D14:G14)</f>
        <v>3229910</v>
      </c>
      <c r="D14" s="52">
        <f t="shared" ref="D14:H14" si="12">D15+D16</f>
        <v>3229910</v>
      </c>
      <c r="E14" s="379">
        <v>0</v>
      </c>
      <c r="F14" s="52">
        <f t="shared" ref="F14" si="13">F15+F16</f>
        <v>0</v>
      </c>
      <c r="G14" s="52">
        <f t="shared" si="12"/>
        <v>0</v>
      </c>
      <c r="H14" s="55">
        <f t="shared" si="12"/>
        <v>31825000</v>
      </c>
      <c r="I14" s="289">
        <f t="shared" si="2"/>
        <v>35054910</v>
      </c>
    </row>
    <row r="15" spans="1:11" ht="15.75" hidden="1" x14ac:dyDescent="0.25">
      <c r="B15" s="46" t="s">
        <v>138</v>
      </c>
      <c r="C15" s="289">
        <f>SUM(D15:G15)</f>
        <v>0</v>
      </c>
      <c r="D15" s="52">
        <v>0</v>
      </c>
      <c r="E15" s="379"/>
      <c r="F15" s="52">
        <v>0</v>
      </c>
      <c r="G15" s="52">
        <v>0</v>
      </c>
      <c r="H15" s="55">
        <v>0</v>
      </c>
      <c r="I15" s="289">
        <f t="shared" si="2"/>
        <v>0</v>
      </c>
    </row>
    <row r="16" spans="1:11" ht="16.2" thickBot="1" x14ac:dyDescent="0.35">
      <c r="B16" s="46" t="s">
        <v>139</v>
      </c>
      <c r="C16" s="289">
        <f>SUM(D16:G16)</f>
        <v>3229910</v>
      </c>
      <c r="D16" s="204">
        <f>3229910</f>
        <v>3229910</v>
      </c>
      <c r="E16" s="379">
        <v>0</v>
      </c>
      <c r="F16" s="52">
        <v>0</v>
      </c>
      <c r="G16" s="52">
        <v>0</v>
      </c>
      <c r="H16" s="55">
        <f>H20*57%</f>
        <v>31825000</v>
      </c>
      <c r="I16" s="289">
        <f t="shared" si="2"/>
        <v>35054910</v>
      </c>
    </row>
    <row r="17" spans="2:11" ht="16.2" thickBot="1" x14ac:dyDescent="0.35">
      <c r="B17" s="45" t="s">
        <v>135</v>
      </c>
      <c r="C17" s="366">
        <f t="shared" ref="C17:G17" si="14">C13+C14</f>
        <v>146993996.41</v>
      </c>
      <c r="D17" s="204">
        <f t="shared" si="14"/>
        <v>140338321.52000001</v>
      </c>
      <c r="E17" s="379">
        <f>E13+E14</f>
        <v>1987077.45</v>
      </c>
      <c r="F17" s="204">
        <f t="shared" ref="F17" si="15">F13+F14</f>
        <v>1264025.52</v>
      </c>
      <c r="G17" s="204">
        <f t="shared" si="14"/>
        <v>3404571.92</v>
      </c>
      <c r="H17" s="55">
        <f>H14+H13</f>
        <v>44853120.68</v>
      </c>
      <c r="I17" s="289">
        <f t="shared" si="2"/>
        <v>191847117.09</v>
      </c>
    </row>
    <row r="18" spans="2:11" ht="16.2" thickBot="1" x14ac:dyDescent="0.35">
      <c r="B18" s="45" t="s">
        <v>219</v>
      </c>
      <c r="C18" s="289">
        <f>SUM(D18:G18)</f>
        <v>7515942.46</v>
      </c>
      <c r="D18" s="52">
        <v>0</v>
      </c>
      <c r="E18" s="379">
        <v>0</v>
      </c>
      <c r="F18" s="379">
        <v>6840514.3799999999</v>
      </c>
      <c r="G18" s="379">
        <v>675428.08</v>
      </c>
      <c r="H18" s="55">
        <f>H20-H17</f>
        <v>10980212.65</v>
      </c>
      <c r="I18" s="289">
        <f t="shared" si="2"/>
        <v>18496155.109999999</v>
      </c>
    </row>
    <row r="19" spans="2:11" ht="15.6" x14ac:dyDescent="0.3">
      <c r="C19" s="289"/>
      <c r="D19" s="52"/>
      <c r="E19" s="379"/>
      <c r="F19" s="52"/>
      <c r="G19" s="52"/>
      <c r="H19" s="55"/>
      <c r="I19" s="289"/>
    </row>
    <row r="20" spans="2:11" ht="15.6" x14ac:dyDescent="0.3">
      <c r="B20" s="47" t="s">
        <v>136</v>
      </c>
      <c r="C20" s="289">
        <f>SUM(D20:G20)</f>
        <v>136070000</v>
      </c>
      <c r="D20" s="52">
        <v>0</v>
      </c>
      <c r="E20" s="379">
        <v>0</v>
      </c>
      <c r="F20" s="204">
        <f>131990000</f>
        <v>131990000</v>
      </c>
      <c r="G20" s="204">
        <f>4080000</f>
        <v>4080000</v>
      </c>
      <c r="H20" s="205">
        <f>(15000000*3+22000000)*(1-0.2/1.2)</f>
        <v>55833333.329999998</v>
      </c>
      <c r="I20" s="289">
        <f>SUM(D20:H20)</f>
        <v>191903333.33000001</v>
      </c>
    </row>
    <row r="21" spans="2:11" ht="15" hidden="1" x14ac:dyDescent="0.25">
      <c r="C21" s="151"/>
      <c r="D21" s="333"/>
      <c r="E21" s="377"/>
      <c r="F21" s="333"/>
      <c r="G21" s="333"/>
      <c r="H21" s="324"/>
      <c r="I21" s="151"/>
    </row>
    <row r="22" spans="2:11" ht="15" hidden="1" x14ac:dyDescent="0.25">
      <c r="C22" s="151"/>
      <c r="D22" s="334">
        <f t="shared" ref="D22:I22" si="16">IF(D18&gt;0,D18/D20*100,0)</f>
        <v>0</v>
      </c>
      <c r="E22" s="376"/>
      <c r="F22" s="334">
        <f t="shared" ref="F22" si="17">IF(F18&gt;0,F18/F20*100,0)</f>
        <v>5.18</v>
      </c>
      <c r="G22" s="334">
        <f t="shared" si="16"/>
        <v>16.55</v>
      </c>
      <c r="H22" s="326">
        <f t="shared" si="16"/>
        <v>19.670000000000002</v>
      </c>
      <c r="I22" s="152">
        <f t="shared" si="16"/>
        <v>9.64</v>
      </c>
    </row>
    <row r="23" spans="2:11" x14ac:dyDescent="0.3">
      <c r="C23" s="151"/>
      <c r="D23" s="333"/>
      <c r="E23" s="377"/>
      <c r="F23" s="333"/>
      <c r="G23" s="333"/>
      <c r="H23" s="324"/>
      <c r="I23" s="151"/>
    </row>
    <row r="24" spans="2:11" ht="15.6" x14ac:dyDescent="0.3">
      <c r="B24" s="56" t="s">
        <v>141</v>
      </c>
      <c r="C24" s="289">
        <f>C25/160</f>
        <v>181</v>
      </c>
      <c r="D24" s="52">
        <f t="shared" ref="D24:G24" si="18">D25/160</f>
        <v>160.38</v>
      </c>
      <c r="E24" s="379"/>
      <c r="F24" s="52">
        <f t="shared" si="18"/>
        <v>5.56</v>
      </c>
      <c r="G24" s="52">
        <f t="shared" si="18"/>
        <v>15.06</v>
      </c>
      <c r="H24" s="55">
        <f>H25/160</f>
        <v>54</v>
      </c>
      <c r="I24" s="289">
        <f>I25/160</f>
        <v>235</v>
      </c>
      <c r="K24" s="348"/>
    </row>
    <row r="25" spans="2:11" ht="15.6" x14ac:dyDescent="0.3">
      <c r="B25" s="56" t="s">
        <v>287</v>
      </c>
      <c r="C25" s="291">
        <f>SUM(D25:G25)</f>
        <v>28960</v>
      </c>
      <c r="D25" s="203">
        <v>25660</v>
      </c>
      <c r="E25" s="380">
        <v>0</v>
      </c>
      <c r="F25" s="203">
        <v>890</v>
      </c>
      <c r="G25" s="203">
        <v>2410</v>
      </c>
      <c r="H25" s="327">
        <f>8640</f>
        <v>8640</v>
      </c>
      <c r="I25" s="291">
        <f>SUM(D25:H25)</f>
        <v>37600</v>
      </c>
      <c r="K25" s="348"/>
    </row>
    <row r="26" spans="2:11" x14ac:dyDescent="0.3">
      <c r="C26" s="151"/>
      <c r="D26" s="333"/>
      <c r="E26" s="377"/>
      <c r="F26" s="333"/>
      <c r="G26" s="333"/>
      <c r="H26" s="324"/>
      <c r="I26" s="151"/>
    </row>
    <row r="27" spans="2:11" ht="15.6" x14ac:dyDescent="0.3">
      <c r="B27" s="56" t="s">
        <v>142</v>
      </c>
      <c r="C27" s="289">
        <f>SUM(D27:G27)</f>
        <v>116032971</v>
      </c>
      <c r="D27" s="52"/>
      <c r="E27" s="379">
        <v>0</v>
      </c>
      <c r="F27" s="204">
        <f>F17-F11+'Бизнес-план 20 190117'!I17-'Бизнес-план 20 190117'!I11+'Бизнес-план 19 190117'!K17-'Бизнес-план 19 190117'!K11</f>
        <v>113874715.59</v>
      </c>
      <c r="G27" s="204">
        <f>G17-G11</f>
        <v>2158255.41</v>
      </c>
      <c r="H27" s="55">
        <f t="shared" ref="H27" si="19">H17-H11</f>
        <v>39676383.990000002</v>
      </c>
      <c r="I27" s="289">
        <f>SUM(D27:H27)</f>
        <v>155709354.99000001</v>
      </c>
    </row>
    <row r="28" spans="2:11" x14ac:dyDescent="0.3">
      <c r="C28" s="151"/>
      <c r="D28" s="333"/>
      <c r="E28" s="333"/>
      <c r="F28" s="333"/>
      <c r="G28" s="333"/>
      <c r="H28" s="151"/>
      <c r="I28" s="151"/>
    </row>
    <row r="29" spans="2:11" x14ac:dyDescent="0.3">
      <c r="B29" s="390" t="s">
        <v>382</v>
      </c>
      <c r="C29" s="379">
        <f>C25*(H1+0.005)</f>
        <v>18018477.600000001</v>
      </c>
      <c r="D29" s="333"/>
      <c r="E29" s="333"/>
      <c r="F29" s="345">
        <f>F20-F27-F11-'Бизнес-план 20 190117'!I11-'Бизнес-план 19 190117'!K11</f>
        <v>6840514.3799999999</v>
      </c>
      <c r="G29" s="345"/>
      <c r="H29" s="292">
        <f>H20-H27-H11</f>
        <v>10980212.65</v>
      </c>
      <c r="I29" s="151"/>
    </row>
    <row r="30" spans="2:11" x14ac:dyDescent="0.3">
      <c r="C30" s="58"/>
    </row>
    <row r="31" spans="2:11" x14ac:dyDescent="0.3">
      <c r="C31" s="368"/>
      <c r="D31" s="54"/>
      <c r="E31" s="54"/>
      <c r="H31" s="391">
        <f>H18/H20</f>
        <v>0.19670000000000001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selection activeCell="G16" sqref="G16"/>
    </sheetView>
  </sheetViews>
  <sheetFormatPr defaultRowHeight="14.4" x14ac:dyDescent="0.3"/>
  <cols>
    <col min="1" max="1" width="6.5546875" bestFit="1" customWidth="1"/>
    <col min="2" max="2" width="73.33203125" bestFit="1" customWidth="1"/>
    <col min="3" max="3" width="15.5546875" customWidth="1"/>
    <col min="4" max="4" width="13.5546875" bestFit="1" customWidth="1"/>
    <col min="5" max="5" width="13.5546875" customWidth="1"/>
    <col min="6" max="6" width="13.5546875" bestFit="1" customWidth="1"/>
    <col min="7" max="7" width="15.88671875" bestFit="1" customWidth="1"/>
    <col min="8" max="8" width="15.109375" customWidth="1"/>
    <col min="9" max="9" width="7.44140625" customWidth="1"/>
    <col min="10" max="10" width="6" bestFit="1" customWidth="1"/>
  </cols>
  <sheetData>
    <row r="1" spans="1:10" ht="15" x14ac:dyDescent="0.25">
      <c r="C1" s="151"/>
      <c r="D1" s="206">
        <f>558.36*1.0251*1.1142</f>
        <v>637.74</v>
      </c>
      <c r="E1" s="376"/>
      <c r="F1" s="206">
        <f>558.36*1.1422</f>
        <v>637.75900000000001</v>
      </c>
      <c r="G1" s="152">
        <f>558.36*1.0556*1.0556*1.0556</f>
        <v>656.77</v>
      </c>
      <c r="H1" s="151"/>
    </row>
    <row r="2" spans="1:10" ht="15" x14ac:dyDescent="0.25">
      <c r="C2" s="151"/>
      <c r="D2" s="151"/>
      <c r="E2" s="377"/>
      <c r="F2" s="151"/>
      <c r="G2" s="151"/>
      <c r="H2" s="151"/>
    </row>
    <row r="3" spans="1:10" ht="16.2" thickBot="1" x14ac:dyDescent="0.35">
      <c r="C3" s="287" t="s">
        <v>140</v>
      </c>
      <c r="D3" s="288" t="s">
        <v>296</v>
      </c>
      <c r="E3" s="378" t="s">
        <v>375</v>
      </c>
      <c r="F3" s="288" t="s">
        <v>327</v>
      </c>
      <c r="G3" s="325" t="s">
        <v>122</v>
      </c>
      <c r="H3" s="287" t="s">
        <v>124</v>
      </c>
    </row>
    <row r="4" spans="1:10" ht="16.2" thickBot="1" x14ac:dyDescent="0.35">
      <c r="B4" s="45" t="s">
        <v>125</v>
      </c>
      <c r="C4" s="289">
        <f t="shared" ref="C4:C9" si="0">SUM(D4:F4)</f>
        <v>949619.62</v>
      </c>
      <c r="D4" s="205">
        <f t="shared" ref="D4:G4" si="1">D5</f>
        <v>949619.62</v>
      </c>
      <c r="E4" s="379">
        <v>0</v>
      </c>
      <c r="F4" s="205">
        <f t="shared" si="1"/>
        <v>0</v>
      </c>
      <c r="G4" s="55">
        <f t="shared" si="1"/>
        <v>0</v>
      </c>
      <c r="H4" s="289">
        <f t="shared" ref="H4:H18" si="2">SUM(D4:G4)</f>
        <v>949619.62</v>
      </c>
    </row>
    <row r="5" spans="1:10" ht="16.2" thickBot="1" x14ac:dyDescent="0.35">
      <c r="B5" s="46" t="s">
        <v>137</v>
      </c>
      <c r="C5" s="289">
        <f t="shared" si="0"/>
        <v>949619.62</v>
      </c>
      <c r="D5" s="204">
        <v>949619.62</v>
      </c>
      <c r="E5" s="379">
        <v>0</v>
      </c>
      <c r="F5" s="205">
        <v>0</v>
      </c>
      <c r="G5" s="55">
        <v>0</v>
      </c>
      <c r="H5" s="289">
        <f t="shared" si="2"/>
        <v>949619.62</v>
      </c>
    </row>
    <row r="6" spans="1:10" ht="16.2" thickBot="1" x14ac:dyDescent="0.35">
      <c r="B6" s="45" t="s">
        <v>126</v>
      </c>
      <c r="C6" s="289">
        <f t="shared" si="0"/>
        <v>6658498.4500000002</v>
      </c>
      <c r="D6" s="205">
        <f t="shared" ref="D6:F6" si="3">D7+D8</f>
        <v>4179588.79</v>
      </c>
      <c r="E6" s="379">
        <f>E7+E8</f>
        <v>192863.28</v>
      </c>
      <c r="F6" s="205">
        <f t="shared" si="3"/>
        <v>2286046.38</v>
      </c>
      <c r="G6" s="55">
        <f>G7+G8</f>
        <v>6071707.2999999998</v>
      </c>
      <c r="H6" s="289">
        <f t="shared" si="2"/>
        <v>12730205.75</v>
      </c>
      <c r="I6" s="347"/>
      <c r="J6" s="58"/>
    </row>
    <row r="7" spans="1:10" ht="15.6" x14ac:dyDescent="0.3">
      <c r="B7" s="46" t="s">
        <v>127</v>
      </c>
      <c r="C7" s="366">
        <f t="shared" si="0"/>
        <v>6222895.75</v>
      </c>
      <c r="D7" s="204">
        <f>D25*D1+0.25</f>
        <v>3906157.75</v>
      </c>
      <c r="E7" s="379">
        <f>180246.05</f>
        <v>180246.05</v>
      </c>
      <c r="F7" s="204">
        <f>F25*F1-0.7</f>
        <v>2136491.9500000002</v>
      </c>
      <c r="G7" s="55">
        <f>G1*G25</f>
        <v>5674492.7999999998</v>
      </c>
      <c r="H7" s="289">
        <f t="shared" si="2"/>
        <v>11897388.550000001</v>
      </c>
      <c r="J7" s="153"/>
    </row>
    <row r="8" spans="1:10" ht="16.2" thickBot="1" x14ac:dyDescent="0.35">
      <c r="B8" s="46" t="s">
        <v>128</v>
      </c>
      <c r="C8" s="366">
        <f t="shared" si="0"/>
        <v>435602.7</v>
      </c>
      <c r="D8" s="204">
        <f t="shared" ref="D8" si="4">D7*0.07</f>
        <v>273431.03999999998</v>
      </c>
      <c r="E8" s="379">
        <f>12617.23</f>
        <v>12617.23</v>
      </c>
      <c r="F8" s="204">
        <f>F7*0.07-0.01</f>
        <v>149554.43</v>
      </c>
      <c r="G8" s="330">
        <f t="shared" ref="G8" si="5">G7*0.07</f>
        <v>397214.5</v>
      </c>
      <c r="H8" s="289">
        <f t="shared" si="2"/>
        <v>832817.2</v>
      </c>
      <c r="J8" s="54"/>
    </row>
    <row r="9" spans="1:10" ht="16.2" thickBot="1" x14ac:dyDescent="0.35">
      <c r="A9" s="211"/>
      <c r="B9" s="45" t="s">
        <v>129</v>
      </c>
      <c r="C9" s="366">
        <f t="shared" si="0"/>
        <v>1839522.68</v>
      </c>
      <c r="D9" s="204">
        <f>D6*0.29-0.01</f>
        <v>1212080.74</v>
      </c>
      <c r="E9" s="379">
        <f>(E7+E8)*0.29</f>
        <v>55930.35</v>
      </c>
      <c r="F9" s="204">
        <f>F6*0.25-0.01</f>
        <v>571511.59</v>
      </c>
      <c r="G9" s="55">
        <f>G6*0.215</f>
        <v>1305417.07</v>
      </c>
      <c r="H9" s="289">
        <f t="shared" si="2"/>
        <v>3144939.75</v>
      </c>
    </row>
    <row r="10" spans="1:10" ht="16.2" thickBot="1" x14ac:dyDescent="0.35">
      <c r="B10" s="45" t="s">
        <v>130</v>
      </c>
      <c r="C10" s="289">
        <f t="shared" ref="C10:G10" si="6">C11+C12</f>
        <v>6325573.5099999998</v>
      </c>
      <c r="D10" s="205">
        <f t="shared" si="6"/>
        <v>3970609.34</v>
      </c>
      <c r="E10" s="379">
        <f>E11+E12</f>
        <v>183220.12</v>
      </c>
      <c r="F10" s="205">
        <f t="shared" si="6"/>
        <v>2171744.0499999998</v>
      </c>
      <c r="G10" s="55">
        <f t="shared" si="6"/>
        <v>6375292.6699999999</v>
      </c>
      <c r="H10" s="289">
        <f t="shared" si="2"/>
        <v>12700866.18</v>
      </c>
    </row>
    <row r="11" spans="1:10" ht="15.6" x14ac:dyDescent="0.3">
      <c r="B11" s="46" t="s">
        <v>131</v>
      </c>
      <c r="C11" s="366">
        <f>SUM(D11:F11)</f>
        <v>5459968.7199999997</v>
      </c>
      <c r="D11" s="344">
        <f>D6*0.82-0.01</f>
        <v>3427262.8</v>
      </c>
      <c r="E11" s="379">
        <f>(E7+E8)*0.82</f>
        <v>158147.89000000001</v>
      </c>
      <c r="F11" s="344">
        <f t="shared" ref="F11" si="7">F6*0.82</f>
        <v>1874558.03</v>
      </c>
      <c r="G11" s="55">
        <f>G6*0.9</f>
        <v>5464536.5700000003</v>
      </c>
      <c r="H11" s="289">
        <f t="shared" si="2"/>
        <v>10924505.289999999</v>
      </c>
      <c r="J11" s="58"/>
    </row>
    <row r="12" spans="1:10" ht="16.2" thickBot="1" x14ac:dyDescent="0.35">
      <c r="B12" s="46" t="s">
        <v>132</v>
      </c>
      <c r="C12" s="366">
        <f>SUM(D12:F12)</f>
        <v>865604.79</v>
      </c>
      <c r="D12" s="344">
        <f t="shared" ref="D12" si="8">D6*0.13</f>
        <v>543346.54</v>
      </c>
      <c r="E12" s="379">
        <f>(E7+E8)*0.13</f>
        <v>25072.23</v>
      </c>
      <c r="F12" s="344">
        <f>F6*0.13-0.01</f>
        <v>297186.02</v>
      </c>
      <c r="G12" s="55">
        <f t="shared" ref="G12" si="9">G6*0.15</f>
        <v>910756.1</v>
      </c>
      <c r="H12" s="289">
        <f t="shared" si="2"/>
        <v>1776360.89</v>
      </c>
      <c r="J12" s="58"/>
    </row>
    <row r="13" spans="1:10" ht="16.2" thickBot="1" x14ac:dyDescent="0.35">
      <c r="B13" s="45" t="s">
        <v>133</v>
      </c>
      <c r="C13" s="289">
        <f t="shared" ref="C13:D13" si="10">C10+C9+C6+C4</f>
        <v>15773214.26</v>
      </c>
      <c r="D13" s="205">
        <f t="shared" si="10"/>
        <v>10311898.49</v>
      </c>
      <c r="E13" s="379">
        <f>E10+E9+E6+E4</f>
        <v>432013.75</v>
      </c>
      <c r="F13" s="205">
        <f t="shared" ref="F13:G13" si="11">F10+F9+F6+F4</f>
        <v>5029302.0199999996</v>
      </c>
      <c r="G13" s="55">
        <f t="shared" si="11"/>
        <v>13752417.039999999</v>
      </c>
      <c r="H13" s="289">
        <f t="shared" si="2"/>
        <v>29525631.300000001</v>
      </c>
      <c r="J13" s="58"/>
    </row>
    <row r="14" spans="1:10" ht="16.2" thickBot="1" x14ac:dyDescent="0.35">
      <c r="B14" s="45" t="s">
        <v>134</v>
      </c>
      <c r="C14" s="289">
        <f>SUM(D14:F14)</f>
        <v>7528460</v>
      </c>
      <c r="D14" s="205">
        <f t="shared" ref="D14:G14" si="12">D15+D16</f>
        <v>7528460</v>
      </c>
      <c r="E14" s="379">
        <v>0</v>
      </c>
      <c r="F14" s="205">
        <f t="shared" si="12"/>
        <v>0</v>
      </c>
      <c r="G14" s="55">
        <f t="shared" si="12"/>
        <v>31266666.66</v>
      </c>
      <c r="H14" s="289">
        <f t="shared" si="2"/>
        <v>38795126.659999996</v>
      </c>
    </row>
    <row r="15" spans="1:10" ht="15.75" hidden="1" x14ac:dyDescent="0.25">
      <c r="B15" s="46" t="s">
        <v>138</v>
      </c>
      <c r="C15" s="289">
        <f>SUM(D15:F15)</f>
        <v>0</v>
      </c>
      <c r="D15" s="205">
        <v>0</v>
      </c>
      <c r="E15" s="379"/>
      <c r="F15" s="205">
        <v>0</v>
      </c>
      <c r="G15" s="55">
        <v>0</v>
      </c>
      <c r="H15" s="289">
        <f t="shared" si="2"/>
        <v>0</v>
      </c>
    </row>
    <row r="16" spans="1:10" ht="16.2" thickBot="1" x14ac:dyDescent="0.35">
      <c r="B16" s="46" t="s">
        <v>139</v>
      </c>
      <c r="C16" s="289">
        <f>SUM(D16:F16)</f>
        <v>7528460</v>
      </c>
      <c r="D16" s="204">
        <f>7528460</f>
        <v>7528460</v>
      </c>
      <c r="E16" s="379">
        <v>0</v>
      </c>
      <c r="F16" s="205">
        <v>0</v>
      </c>
      <c r="G16" s="55">
        <f>G20*56%</f>
        <v>31266666.66</v>
      </c>
      <c r="H16" s="289">
        <f t="shared" si="2"/>
        <v>38795126.659999996</v>
      </c>
    </row>
    <row r="17" spans="2:10" ht="16.2" thickBot="1" x14ac:dyDescent="0.35">
      <c r="B17" s="45" t="s">
        <v>135</v>
      </c>
      <c r="C17" s="289">
        <f t="shared" ref="C17:F17" si="13">C13+C14</f>
        <v>23301674.260000002</v>
      </c>
      <c r="D17" s="205">
        <f t="shared" si="13"/>
        <v>17840358.489999998</v>
      </c>
      <c r="E17" s="379">
        <f>E13+E14</f>
        <v>432013.75</v>
      </c>
      <c r="F17" s="205">
        <f t="shared" si="13"/>
        <v>5029302.0199999996</v>
      </c>
      <c r="G17" s="55">
        <f>G14+G13</f>
        <v>45019083.700000003</v>
      </c>
      <c r="H17" s="289">
        <f t="shared" si="2"/>
        <v>68320757.959999993</v>
      </c>
    </row>
    <row r="18" spans="2:10" ht="16.2" thickBot="1" x14ac:dyDescent="0.35">
      <c r="B18" s="45" t="s">
        <v>219</v>
      </c>
      <c r="C18" s="289">
        <f>SUM(D18:F18)</f>
        <v>15004024.6</v>
      </c>
      <c r="D18" s="204">
        <f>14003326.62</f>
        <v>14003326.619999999</v>
      </c>
      <c r="E18" s="379">
        <v>0</v>
      </c>
      <c r="F18" s="204">
        <f>1000697.98</f>
        <v>1000697.98</v>
      </c>
      <c r="G18" s="55">
        <f>G20-G17</f>
        <v>10814249.630000001</v>
      </c>
      <c r="H18" s="289">
        <f t="shared" si="2"/>
        <v>25818274.23</v>
      </c>
    </row>
    <row r="19" spans="2:10" ht="15.6" x14ac:dyDescent="0.3">
      <c r="C19" s="289"/>
      <c r="D19" s="205"/>
      <c r="E19" s="379"/>
      <c r="F19" s="205"/>
      <c r="G19" s="55"/>
      <c r="H19" s="289"/>
    </row>
    <row r="20" spans="2:10" ht="15.6" x14ac:dyDescent="0.3">
      <c r="B20" s="47" t="s">
        <v>136</v>
      </c>
      <c r="C20" s="289">
        <f>SUM(D20:F20)</f>
        <v>266180000</v>
      </c>
      <c r="D20" s="204">
        <v>260150000</v>
      </c>
      <c r="E20" s="379">
        <v>0</v>
      </c>
      <c r="F20" s="204">
        <f>6030000</f>
        <v>6030000</v>
      </c>
      <c r="G20" s="205">
        <f>(15000000*3+22000000)*(1-0.2/1.2)</f>
        <v>55833333.329999998</v>
      </c>
      <c r="H20" s="289">
        <f>SUM(D20:G20)</f>
        <v>322013333.32999998</v>
      </c>
    </row>
    <row r="21" spans="2:10" ht="15" hidden="1" x14ac:dyDescent="0.25">
      <c r="C21" s="151"/>
      <c r="D21" s="151"/>
      <c r="E21" s="377"/>
      <c r="F21" s="151"/>
      <c r="G21" s="324"/>
      <c r="H21" s="151"/>
    </row>
    <row r="22" spans="2:10" ht="15" hidden="1" x14ac:dyDescent="0.25">
      <c r="C22" s="151"/>
      <c r="D22" s="152">
        <f t="shared" ref="D22:H22" si="14">IF(D18&gt;0,D18/D20*100,0)</f>
        <v>5.38</v>
      </c>
      <c r="E22" s="376"/>
      <c r="F22" s="152">
        <f t="shared" si="14"/>
        <v>16.600000000000001</v>
      </c>
      <c r="G22" s="326">
        <f t="shared" si="14"/>
        <v>19.37</v>
      </c>
      <c r="H22" s="152">
        <f t="shared" si="14"/>
        <v>8.02</v>
      </c>
    </row>
    <row r="23" spans="2:10" x14ac:dyDescent="0.3">
      <c r="C23" s="151"/>
      <c r="D23" s="151"/>
      <c r="E23" s="377"/>
      <c r="F23" s="151"/>
      <c r="G23" s="324"/>
      <c r="H23" s="151"/>
    </row>
    <row r="24" spans="2:10" ht="15.6" x14ac:dyDescent="0.3">
      <c r="B24" s="56" t="s">
        <v>141</v>
      </c>
      <c r="C24" s="289">
        <f>C25/160</f>
        <v>59.22</v>
      </c>
      <c r="D24" s="205">
        <f t="shared" ref="D24:F24" si="15">D25/160</f>
        <v>38.28</v>
      </c>
      <c r="E24" s="379"/>
      <c r="F24" s="205">
        <f t="shared" si="15"/>
        <v>20.94</v>
      </c>
      <c r="G24" s="55">
        <f>G25/160</f>
        <v>54</v>
      </c>
      <c r="H24" s="289">
        <f>H25/160</f>
        <v>113.22</v>
      </c>
      <c r="J24" s="349"/>
    </row>
    <row r="25" spans="2:10" ht="15.6" x14ac:dyDescent="0.3">
      <c r="B25" s="56" t="s">
        <v>287</v>
      </c>
      <c r="C25" s="291">
        <f>SUM(D25:F25)</f>
        <v>9475</v>
      </c>
      <c r="D25" s="203">
        <v>6125</v>
      </c>
      <c r="E25" s="380">
        <v>0</v>
      </c>
      <c r="F25" s="203">
        <v>3350</v>
      </c>
      <c r="G25" s="327">
        <v>8640</v>
      </c>
      <c r="H25" s="291">
        <f>SUM(D25:G25)</f>
        <v>18115</v>
      </c>
      <c r="J25" s="349"/>
    </row>
    <row r="26" spans="2:10" x14ac:dyDescent="0.3">
      <c r="C26" s="151"/>
      <c r="D26" s="151"/>
      <c r="E26" s="377"/>
      <c r="F26" s="151"/>
      <c r="G26" s="324"/>
      <c r="H26" s="151"/>
    </row>
    <row r="27" spans="2:10" ht="15.6" x14ac:dyDescent="0.3">
      <c r="B27" s="56" t="s">
        <v>142</v>
      </c>
      <c r="C27" s="289">
        <f>SUM(D27:F27)</f>
        <v>226515904.41</v>
      </c>
      <c r="D27" s="205">
        <f>D17-D11+'Бизнес-план 21 190117'!D17-'Бизнес-план 21 190117'!D11+'Бизнес-план 20 190117'!H17-'Бизнес-план 20 190117'!H11</f>
        <v>223361160.41999999</v>
      </c>
      <c r="E27" s="379">
        <v>0</v>
      </c>
      <c r="F27" s="205">
        <f>F17-F11</f>
        <v>3154743.99</v>
      </c>
      <c r="G27" s="55">
        <f t="shared" ref="G27" si="16">G17-G11</f>
        <v>39554547.130000003</v>
      </c>
      <c r="H27" s="289">
        <f>SUM(D27:G27)</f>
        <v>266070451.53999999</v>
      </c>
    </row>
    <row r="28" spans="2:10" x14ac:dyDescent="0.3">
      <c r="C28" s="151"/>
      <c r="D28" s="151"/>
      <c r="E28" s="151"/>
      <c r="F28" s="151"/>
      <c r="G28" s="151"/>
      <c r="H28" s="151"/>
    </row>
    <row r="29" spans="2:10" x14ac:dyDescent="0.3">
      <c r="B29" s="390" t="s">
        <v>383</v>
      </c>
      <c r="C29" s="379">
        <f>C25*G1</f>
        <v>6222895.75</v>
      </c>
      <c r="D29" s="345">
        <f>D20-D27-D11-'Бизнес-план 21 190117'!D11-'Бизнес-план 20 190117'!H11</f>
        <v>14003326.619999999</v>
      </c>
      <c r="E29" s="345"/>
      <c r="F29" s="345">
        <f>F20-F27-F11</f>
        <v>1000697.98</v>
      </c>
      <c r="G29" s="292">
        <f>G20-G27-G11</f>
        <v>10814249.630000001</v>
      </c>
      <c r="H29" s="151"/>
    </row>
    <row r="30" spans="2:10" x14ac:dyDescent="0.3">
      <c r="C30" s="58"/>
    </row>
    <row r="31" spans="2:10" x14ac:dyDescent="0.3">
      <c r="C31" s="58">
        <f>C5+'Бизнес-план 21 190117'!C5+'Бизнес-план 20 190117'!C5+'Бизнес-план 19 190117'!D5</f>
        <v>264976879.37</v>
      </c>
      <c r="G31" s="355">
        <f>G18/G20</f>
        <v>0.19370000000000001</v>
      </c>
    </row>
    <row r="32" spans="2:10" x14ac:dyDescent="0.3">
      <c r="C32" s="58">
        <f>C16+'Бизнес-план 21 190117'!C16+'Бизнес-план 20 190117'!C16+'Бизнес-план 19 190117'!D16</f>
        <v>17128967.870000001</v>
      </c>
      <c r="D32" s="58">
        <f>G16+'Бизнес-план 21 190117'!H16+'Бизнес-план 20 190117'!K16+'Бизнес-план 19 190117'!M16</f>
        <v>128416666.65000001</v>
      </c>
      <c r="E32" s="58">
        <f>C32+D32</f>
        <v>145545634.52000001</v>
      </c>
    </row>
    <row r="33" spans="3:5" x14ac:dyDescent="0.3">
      <c r="C33" s="58">
        <f>C18+'Бизнес-план 21 190117'!C18+'Бизнес-план 20 190117'!C18+'Бизнес-план 19 190117'!D18</f>
        <v>31129941.949999999</v>
      </c>
      <c r="D33" s="58">
        <f>G18+'Бизнес-план 21 190117'!H18+'Бизнес-план 20 190117'!K18+'Бизнес-план 19 190117'!M18</f>
        <v>44041213.630000003</v>
      </c>
      <c r="E33" s="58">
        <f>C33+D33</f>
        <v>75171155.579999998</v>
      </c>
    </row>
    <row r="41" spans="3:5" x14ac:dyDescent="0.3">
      <c r="C41" s="58"/>
    </row>
    <row r="42" spans="3:5" x14ac:dyDescent="0.3">
      <c r="C42" s="58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/>
  </sheetViews>
  <sheetFormatPr defaultRowHeight="14.4" x14ac:dyDescent="0.3"/>
  <cols>
    <col min="1" max="1" width="33.33203125" bestFit="1" customWidth="1"/>
    <col min="2" max="2" width="15.6640625" customWidth="1"/>
    <col min="3" max="3" width="15" customWidth="1"/>
    <col min="4" max="4" width="15.88671875" bestFit="1" customWidth="1"/>
    <col min="5" max="5" width="15.109375" customWidth="1"/>
    <col min="7" max="7" width="12.44140625" bestFit="1" customWidth="1"/>
    <col min="9" max="9" width="11.44140625" hidden="1" customWidth="1"/>
  </cols>
  <sheetData>
    <row r="1" spans="1:9" ht="15" x14ac:dyDescent="0.25">
      <c r="B1" s="54">
        <f>B9/B7</f>
        <v>412.48</v>
      </c>
      <c r="C1" s="54">
        <f>C9/C7</f>
        <v>1639.78</v>
      </c>
      <c r="D1" s="54">
        <f>D9/D7</f>
        <v>1639.78</v>
      </c>
      <c r="E1" s="54">
        <f>E9/E7</f>
        <v>1639.78</v>
      </c>
      <c r="G1" s="54">
        <f>G9/G7</f>
        <v>653.27</v>
      </c>
    </row>
    <row r="3" spans="1:9" x14ac:dyDescent="0.3">
      <c r="B3" s="50" t="s">
        <v>119</v>
      </c>
      <c r="C3" s="50" t="s">
        <v>123</v>
      </c>
      <c r="D3" s="50" t="s">
        <v>122</v>
      </c>
      <c r="E3" s="50" t="s">
        <v>288</v>
      </c>
      <c r="G3" s="50" t="s">
        <v>150</v>
      </c>
    </row>
    <row r="5" spans="1:9" x14ac:dyDescent="0.3">
      <c r="A5" s="56" t="s">
        <v>295</v>
      </c>
      <c r="B5" s="52">
        <f>15640000</f>
        <v>15640000</v>
      </c>
      <c r="C5" s="52">
        <f>6950000*(1-0.18/1.18)</f>
        <v>5889830.5099999998</v>
      </c>
      <c r="D5" s="52">
        <f>5600000*(1-0.18/1.18)+3600000*(1-0.18/1.18)+4600000*(1-0.18/1.18)</f>
        <v>11694915.25</v>
      </c>
      <c r="E5" s="52">
        <f>5100000*(1-0.18/1.18)+6900000*(1-0.18/1.18)+3100000*(1-0.18/1.18)</f>
        <v>12796610.17</v>
      </c>
      <c r="G5" s="52">
        <f>SUM(B5:F5)</f>
        <v>46021355.93</v>
      </c>
      <c r="I5" s="153">
        <f>G5-B5</f>
        <v>30381356</v>
      </c>
    </row>
    <row r="7" spans="1:9" x14ac:dyDescent="0.3">
      <c r="A7" s="56" t="s">
        <v>287</v>
      </c>
      <c r="B7" s="183">
        <f>(18+5.5+24)*160</f>
        <v>7600</v>
      </c>
      <c r="C7" s="183">
        <f>C5/$I$5*$I$7</f>
        <v>360</v>
      </c>
      <c r="D7" s="183">
        <f>D5/$I$5*$I$7</f>
        <v>714</v>
      </c>
      <c r="E7" s="183">
        <f>E5/$I$5*$I$7</f>
        <v>781</v>
      </c>
      <c r="G7" s="183">
        <f>59.092*20*8</f>
        <v>9455</v>
      </c>
      <c r="I7" s="153">
        <f>G7-B7</f>
        <v>1855</v>
      </c>
    </row>
    <row r="8" spans="1:9" ht="15" x14ac:dyDescent="0.25">
      <c r="A8" s="56"/>
    </row>
    <row r="9" spans="1:9" x14ac:dyDescent="0.3">
      <c r="A9" s="56" t="s">
        <v>292</v>
      </c>
      <c r="B9" s="52">
        <f>(1710800+1747200)*(1-G11/G9/(1+G11/G9))</f>
        <v>3134868.17</v>
      </c>
      <c r="C9" s="52">
        <f>C7/$I$7*$I$9</f>
        <v>590322.36</v>
      </c>
      <c r="D9" s="52">
        <f>D7/$I$7*$I$9</f>
        <v>1170806.01</v>
      </c>
      <c r="E9" s="52">
        <f>E7/$I$7*$I$9</f>
        <v>1280671.57</v>
      </c>
      <c r="G9" s="52">
        <f>6176668.11</f>
        <v>6176668.1100000003</v>
      </c>
      <c r="I9" s="58">
        <f>G9-B9</f>
        <v>3041799.94</v>
      </c>
    </row>
    <row r="10" spans="1:9" ht="15" x14ac:dyDescent="0.25">
      <c r="A10" s="56"/>
    </row>
    <row r="11" spans="1:9" x14ac:dyDescent="0.3">
      <c r="A11" s="56" t="s">
        <v>208</v>
      </c>
      <c r="B11" s="52">
        <f>(1710800+1747200)*G11/G9/(1+G11/G9)</f>
        <v>323131.83</v>
      </c>
      <c r="C11" s="52">
        <f>C7/$I$7*$I$11</f>
        <v>60848.47</v>
      </c>
      <c r="D11" s="52">
        <f>D7/$I$7*$I$11</f>
        <v>120682.8</v>
      </c>
      <c r="E11" s="52">
        <f>E7/$I$7*$I$11+0.01</f>
        <v>132007.39000000001</v>
      </c>
      <c r="G11" s="52">
        <f>636670.49</f>
        <v>636670.49</v>
      </c>
      <c r="I11" s="58">
        <f>G11-B11</f>
        <v>313538.65999999997</v>
      </c>
    </row>
    <row r="12" spans="1:9" ht="15" x14ac:dyDescent="0.25">
      <c r="A12" s="56"/>
    </row>
    <row r="13" spans="1:9" x14ac:dyDescent="0.3">
      <c r="A13" s="56" t="s">
        <v>293</v>
      </c>
      <c r="B13" s="52">
        <f>B9+B11</f>
        <v>3458000</v>
      </c>
      <c r="C13" s="52">
        <f>C9+C11</f>
        <v>651170.82999999996</v>
      </c>
      <c r="D13" s="52">
        <f>D9+D11</f>
        <v>1291488.81</v>
      </c>
      <c r="E13" s="52">
        <f>E9+E11</f>
        <v>1412678.96</v>
      </c>
      <c r="G13" s="52">
        <f>G9+G11</f>
        <v>6813338.5999999996</v>
      </c>
      <c r="I13" s="58">
        <f>G13-B13</f>
        <v>3355338.6</v>
      </c>
    </row>
    <row r="15" spans="1:9" x14ac:dyDescent="0.3">
      <c r="B15" s="180" t="s">
        <v>289</v>
      </c>
      <c r="C15" s="180" t="s">
        <v>294</v>
      </c>
      <c r="D15" s="180" t="s">
        <v>290</v>
      </c>
      <c r="E15" s="180" t="s">
        <v>291</v>
      </c>
    </row>
    <row r="23" spans="2:2" x14ac:dyDescent="0.3">
      <c r="B23" s="5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view="pageBreakPreview" zoomScale="60" zoomScaleNormal="100" workbookViewId="0">
      <selection activeCell="C18" sqref="C18"/>
    </sheetView>
  </sheetViews>
  <sheetFormatPr defaultRowHeight="14.4" x14ac:dyDescent="0.3"/>
  <cols>
    <col min="1" max="1" width="9" bestFit="1" customWidth="1"/>
    <col min="2" max="2" width="61.6640625" customWidth="1"/>
    <col min="3" max="3" width="26.6640625" customWidth="1"/>
    <col min="4" max="4" width="24.88671875" customWidth="1"/>
    <col min="5" max="5" width="24.21875" customWidth="1"/>
    <col min="6" max="6" width="27.109375" customWidth="1"/>
  </cols>
  <sheetData>
    <row r="1" spans="1:6" ht="31.2" x14ac:dyDescent="0.3">
      <c r="A1" s="77"/>
      <c r="B1" s="78"/>
      <c r="C1" s="78"/>
      <c r="D1" s="78"/>
      <c r="E1" s="78"/>
      <c r="F1" s="79" t="s">
        <v>159</v>
      </c>
    </row>
    <row r="2" spans="1:6" ht="15.6" x14ac:dyDescent="0.3">
      <c r="A2" s="77"/>
      <c r="B2" s="78"/>
      <c r="C2" s="78"/>
      <c r="D2" s="78"/>
      <c r="E2" s="78"/>
      <c r="F2" s="78"/>
    </row>
    <row r="3" spans="1:6" ht="36.6" customHeight="1" x14ac:dyDescent="0.3">
      <c r="A3" s="409" t="s">
        <v>388</v>
      </c>
      <c r="B3" s="409"/>
      <c r="C3" s="409"/>
      <c r="D3" s="409"/>
      <c r="E3" s="409"/>
      <c r="F3" s="409"/>
    </row>
    <row r="4" spans="1:6" ht="15.6" x14ac:dyDescent="0.3">
      <c r="A4" s="410" t="s">
        <v>116</v>
      </c>
      <c r="B4" s="410"/>
      <c r="C4" s="410"/>
      <c r="D4" s="410"/>
      <c r="E4" s="410"/>
      <c r="F4" s="410"/>
    </row>
    <row r="5" spans="1:6" ht="15.6" x14ac:dyDescent="0.3">
      <c r="A5" s="83"/>
      <c r="B5" s="393"/>
      <c r="C5" s="393"/>
      <c r="D5" s="393"/>
      <c r="E5" s="393"/>
      <c r="F5" s="84" t="s">
        <v>145</v>
      </c>
    </row>
    <row r="6" spans="1:6" ht="41.4" x14ac:dyDescent="0.3">
      <c r="A6" s="408" t="s">
        <v>3</v>
      </c>
      <c r="B6" s="408"/>
      <c r="C6" s="394" t="s">
        <v>247</v>
      </c>
      <c r="D6" s="408" t="s">
        <v>333</v>
      </c>
      <c r="E6" s="408"/>
      <c r="F6" s="394" t="s">
        <v>249</v>
      </c>
    </row>
    <row r="7" spans="1:6" x14ac:dyDescent="0.3">
      <c r="A7" s="408"/>
      <c r="B7" s="408"/>
      <c r="C7" s="85" t="s">
        <v>160</v>
      </c>
      <c r="D7" s="85" t="s">
        <v>9</v>
      </c>
      <c r="E7" s="394" t="s">
        <v>161</v>
      </c>
      <c r="F7" s="394" t="s">
        <v>9</v>
      </c>
    </row>
    <row r="8" spans="1:6" x14ac:dyDescent="0.3">
      <c r="A8" s="411">
        <v>1</v>
      </c>
      <c r="B8" s="412"/>
      <c r="C8" s="85">
        <v>2</v>
      </c>
      <c r="D8" s="85">
        <v>3</v>
      </c>
      <c r="E8" s="394">
        <v>4</v>
      </c>
      <c r="F8" s="394">
        <v>5</v>
      </c>
    </row>
    <row r="9" spans="1:6" x14ac:dyDescent="0.3">
      <c r="A9" s="403" t="s">
        <v>162</v>
      </c>
      <c r="B9" s="403"/>
      <c r="C9" s="157">
        <v>0</v>
      </c>
      <c r="D9" s="85">
        <f>'Бизнес-план 18 190117'!C7</f>
        <v>6550547</v>
      </c>
      <c r="E9" s="85">
        <f>D9</f>
        <v>6550547</v>
      </c>
      <c r="F9" s="85">
        <f>'Бизнес-план 19 190117'!D7</f>
        <v>18674350</v>
      </c>
    </row>
    <row r="10" spans="1:6" x14ac:dyDescent="0.3">
      <c r="A10" s="403" t="s">
        <v>163</v>
      </c>
      <c r="B10" s="403"/>
      <c r="C10" s="157">
        <v>0</v>
      </c>
      <c r="D10" s="85">
        <f>'Бизнес-план 18 190117'!C8</f>
        <v>430271</v>
      </c>
      <c r="E10" s="85">
        <f t="shared" ref="E10" si="0">D10</f>
        <v>430271</v>
      </c>
      <c r="F10" s="85">
        <f>'Бизнес-план 19 190117'!D8</f>
        <v>1307205</v>
      </c>
    </row>
    <row r="11" spans="1:6" x14ac:dyDescent="0.3">
      <c r="A11" s="403" t="s">
        <v>164</v>
      </c>
      <c r="B11" s="403"/>
      <c r="C11" s="394" t="s">
        <v>118</v>
      </c>
      <c r="D11" s="350">
        <f>D10/D9</f>
        <v>7.0000000000000007E-2</v>
      </c>
      <c r="E11" s="350">
        <f>E10/E9</f>
        <v>7.0000000000000007E-2</v>
      </c>
      <c r="F11" s="350">
        <f>F10/F9</f>
        <v>7.0000000000000007E-2</v>
      </c>
    </row>
    <row r="12" spans="1:6" x14ac:dyDescent="0.3">
      <c r="A12" s="398"/>
      <c r="B12" s="398"/>
      <c r="C12" s="398"/>
      <c r="D12" s="398"/>
      <c r="E12" s="398"/>
      <c r="F12" s="398"/>
    </row>
    <row r="13" spans="1:6" x14ac:dyDescent="0.3">
      <c r="A13" s="404" t="s">
        <v>165</v>
      </c>
      <c r="B13" s="404"/>
      <c r="C13" s="404"/>
      <c r="D13" s="404"/>
      <c r="E13" s="404"/>
      <c r="F13" s="404"/>
    </row>
    <row r="14" spans="1:6" x14ac:dyDescent="0.3">
      <c r="A14" s="87"/>
      <c r="B14" s="88"/>
      <c r="C14" s="88"/>
      <c r="D14" s="88"/>
      <c r="E14" s="88"/>
      <c r="F14" s="89" t="s">
        <v>145</v>
      </c>
    </row>
    <row r="15" spans="1:6" ht="41.4" x14ac:dyDescent="0.3">
      <c r="A15" s="405" t="s">
        <v>166</v>
      </c>
      <c r="B15" s="406" t="s">
        <v>167</v>
      </c>
      <c r="C15" s="394" t="s">
        <v>250</v>
      </c>
      <c r="D15" s="408" t="s">
        <v>248</v>
      </c>
      <c r="E15" s="408"/>
      <c r="F15" s="394" t="s">
        <v>249</v>
      </c>
    </row>
    <row r="16" spans="1:6" ht="27.6" x14ac:dyDescent="0.3">
      <c r="A16" s="405"/>
      <c r="B16" s="407"/>
      <c r="C16" s="90" t="s">
        <v>160</v>
      </c>
      <c r="D16" s="90" t="s">
        <v>9</v>
      </c>
      <c r="E16" s="91" t="s">
        <v>161</v>
      </c>
      <c r="F16" s="91" t="s">
        <v>9</v>
      </c>
    </row>
    <row r="17" spans="1:6" x14ac:dyDescent="0.3">
      <c r="A17" s="396" t="s">
        <v>168</v>
      </c>
      <c r="B17" s="397">
        <v>2</v>
      </c>
      <c r="C17" s="90">
        <v>3</v>
      </c>
      <c r="D17" s="90">
        <v>4</v>
      </c>
      <c r="E17" s="91">
        <v>5</v>
      </c>
      <c r="F17" s="91">
        <v>6</v>
      </c>
    </row>
    <row r="18" spans="1:6" ht="50.4" customHeight="1" x14ac:dyDescent="0.3">
      <c r="A18" s="396">
        <v>1</v>
      </c>
      <c r="B18" s="92" t="s">
        <v>169</v>
      </c>
      <c r="C18" s="394">
        <v>0</v>
      </c>
      <c r="D18" s="85">
        <f>D10</f>
        <v>430271</v>
      </c>
      <c r="E18" s="85">
        <f>D18</f>
        <v>430271</v>
      </c>
      <c r="F18" s="85">
        <f>F10</f>
        <v>1307205</v>
      </c>
    </row>
    <row r="19" spans="1:6" ht="41.4" x14ac:dyDescent="0.3">
      <c r="A19" s="396">
        <v>2</v>
      </c>
      <c r="B19" s="92" t="s">
        <v>170</v>
      </c>
      <c r="C19" s="394">
        <v>0</v>
      </c>
      <c r="D19" s="394">
        <v>0</v>
      </c>
      <c r="E19" s="85">
        <f t="shared" ref="E19:E31" si="1">D19</f>
        <v>0</v>
      </c>
      <c r="F19" s="394">
        <v>0</v>
      </c>
    </row>
    <row r="20" spans="1:6" ht="63" customHeight="1" x14ac:dyDescent="0.3">
      <c r="A20" s="396">
        <v>3</v>
      </c>
      <c r="B20" s="92" t="s">
        <v>171</v>
      </c>
      <c r="C20" s="394">
        <v>0</v>
      </c>
      <c r="D20" s="394">
        <v>0</v>
      </c>
      <c r="E20" s="85">
        <f t="shared" si="1"/>
        <v>0</v>
      </c>
      <c r="F20" s="394">
        <v>0</v>
      </c>
    </row>
    <row r="21" spans="1:6" ht="27.6" x14ac:dyDescent="0.3">
      <c r="A21" s="396">
        <v>4</v>
      </c>
      <c r="B21" s="92" t="s">
        <v>172</v>
      </c>
      <c r="C21" s="394">
        <v>0</v>
      </c>
      <c r="D21" s="394">
        <v>0</v>
      </c>
      <c r="E21" s="85">
        <f t="shared" si="1"/>
        <v>0</v>
      </c>
      <c r="F21" s="394">
        <v>0</v>
      </c>
    </row>
    <row r="22" spans="1:6" ht="55.2" x14ac:dyDescent="0.3">
      <c r="A22" s="396">
        <v>5</v>
      </c>
      <c r="B22" s="92" t="s">
        <v>173</v>
      </c>
      <c r="C22" s="394">
        <v>0</v>
      </c>
      <c r="D22" s="394">
        <v>0</v>
      </c>
      <c r="E22" s="85">
        <f t="shared" si="1"/>
        <v>0</v>
      </c>
      <c r="F22" s="394">
        <v>0</v>
      </c>
    </row>
    <row r="23" spans="1:6" ht="41.4" customHeight="1" x14ac:dyDescent="0.3">
      <c r="A23" s="396">
        <v>6</v>
      </c>
      <c r="B23" s="92" t="s">
        <v>174</v>
      </c>
      <c r="C23" s="394">
        <v>0</v>
      </c>
      <c r="D23" s="394">
        <v>0</v>
      </c>
      <c r="E23" s="85">
        <f t="shared" si="1"/>
        <v>0</v>
      </c>
      <c r="F23" s="394">
        <v>0</v>
      </c>
    </row>
    <row r="24" spans="1:6" ht="41.4" x14ac:dyDescent="0.3">
      <c r="A24" s="396" t="s">
        <v>175</v>
      </c>
      <c r="B24" s="92" t="s">
        <v>176</v>
      </c>
      <c r="C24" s="394">
        <v>0</v>
      </c>
      <c r="D24" s="394">
        <v>0</v>
      </c>
      <c r="E24" s="85">
        <f t="shared" si="1"/>
        <v>0</v>
      </c>
      <c r="F24" s="394">
        <v>0</v>
      </c>
    </row>
    <row r="25" spans="1:6" ht="27.6" x14ac:dyDescent="0.3">
      <c r="A25" s="396" t="s">
        <v>177</v>
      </c>
      <c r="B25" s="92" t="s">
        <v>178</v>
      </c>
      <c r="C25" s="394">
        <v>0</v>
      </c>
      <c r="D25" s="394">
        <v>0</v>
      </c>
      <c r="E25" s="85">
        <f t="shared" si="1"/>
        <v>0</v>
      </c>
      <c r="F25" s="394">
        <v>0</v>
      </c>
    </row>
    <row r="26" spans="1:6" ht="27.6" x14ac:dyDescent="0.3">
      <c r="A26" s="396" t="s">
        <v>179</v>
      </c>
      <c r="B26" s="92" t="s">
        <v>180</v>
      </c>
      <c r="C26" s="394">
        <v>0</v>
      </c>
      <c r="D26" s="394">
        <v>0</v>
      </c>
      <c r="E26" s="85">
        <f t="shared" si="1"/>
        <v>0</v>
      </c>
      <c r="F26" s="394">
        <v>0</v>
      </c>
    </row>
    <row r="27" spans="1:6" x14ac:dyDescent="0.3">
      <c r="A27" s="396" t="s">
        <v>181</v>
      </c>
      <c r="B27" s="92" t="s">
        <v>182</v>
      </c>
      <c r="C27" s="394">
        <v>0</v>
      </c>
      <c r="D27" s="394">
        <v>0</v>
      </c>
      <c r="E27" s="85">
        <f t="shared" si="1"/>
        <v>0</v>
      </c>
      <c r="F27" s="394">
        <v>0</v>
      </c>
    </row>
    <row r="28" spans="1:6" ht="41.4" x14ac:dyDescent="0.3">
      <c r="A28" s="396" t="s">
        <v>183</v>
      </c>
      <c r="B28" s="92" t="s">
        <v>184</v>
      </c>
      <c r="C28" s="394">
        <v>0</v>
      </c>
      <c r="D28" s="394">
        <v>0</v>
      </c>
      <c r="E28" s="85">
        <f t="shared" si="1"/>
        <v>0</v>
      </c>
      <c r="F28" s="394">
        <v>0</v>
      </c>
    </row>
    <row r="29" spans="1:6" ht="27.6" x14ac:dyDescent="0.3">
      <c r="A29" s="396" t="s">
        <v>185</v>
      </c>
      <c r="B29" s="92" t="s">
        <v>186</v>
      </c>
      <c r="C29" s="394">
        <v>0</v>
      </c>
      <c r="D29" s="394">
        <v>0</v>
      </c>
      <c r="E29" s="85">
        <f t="shared" si="1"/>
        <v>0</v>
      </c>
      <c r="F29" s="394">
        <v>0</v>
      </c>
    </row>
    <row r="30" spans="1:6" ht="27.6" x14ac:dyDescent="0.3">
      <c r="A30" s="396" t="s">
        <v>187</v>
      </c>
      <c r="B30" s="92" t="s">
        <v>188</v>
      </c>
      <c r="C30" s="394">
        <v>0</v>
      </c>
      <c r="D30" s="394">
        <v>0</v>
      </c>
      <c r="E30" s="85">
        <f t="shared" si="1"/>
        <v>0</v>
      </c>
      <c r="F30" s="394">
        <v>0</v>
      </c>
    </row>
    <row r="31" spans="1:6" ht="27.6" x14ac:dyDescent="0.3">
      <c r="A31" s="396" t="s">
        <v>189</v>
      </c>
      <c r="B31" s="92" t="s">
        <v>246</v>
      </c>
      <c r="C31" s="394">
        <v>0</v>
      </c>
      <c r="D31" s="394">
        <v>0</v>
      </c>
      <c r="E31" s="85">
        <f t="shared" si="1"/>
        <v>0</v>
      </c>
      <c r="F31" s="394">
        <v>0</v>
      </c>
    </row>
    <row r="32" spans="1:6" ht="27.6" customHeight="1" x14ac:dyDescent="0.3">
      <c r="A32" s="396"/>
      <c r="B32" s="93" t="s">
        <v>153</v>
      </c>
      <c r="C32" s="85">
        <f>SUM(C18:C31)</f>
        <v>0</v>
      </c>
      <c r="D32" s="85">
        <f>SUM(D18:D31)</f>
        <v>430271</v>
      </c>
      <c r="E32" s="85">
        <f>SUM(E18:E31)</f>
        <v>430271</v>
      </c>
      <c r="F32" s="85">
        <f>SUM(F18:F31)</f>
        <v>1307205</v>
      </c>
    </row>
    <row r="33" spans="1:6" x14ac:dyDescent="0.3">
      <c r="A33" s="94"/>
      <c r="B33" s="95"/>
      <c r="C33" s="395"/>
      <c r="D33" s="395"/>
      <c r="E33" s="96"/>
      <c r="F33" s="398"/>
    </row>
    <row r="34" spans="1:6" x14ac:dyDescent="0.3">
      <c r="A34" s="402"/>
      <c r="B34" s="402"/>
      <c r="C34" s="402"/>
      <c r="D34" s="402"/>
      <c r="E34" s="402"/>
      <c r="F34" s="402"/>
    </row>
    <row r="35" spans="1:6" ht="15.6" x14ac:dyDescent="0.3">
      <c r="A35" s="76"/>
      <c r="B35" s="401" t="s">
        <v>367</v>
      </c>
      <c r="C35" s="401"/>
      <c r="D35" s="78"/>
      <c r="E35" s="401" t="s">
        <v>386</v>
      </c>
      <c r="F35" s="401"/>
    </row>
    <row r="36" spans="1:6" ht="45.6" customHeight="1" x14ac:dyDescent="0.3">
      <c r="A36" s="156"/>
      <c r="B36" s="266" t="s">
        <v>244</v>
      </c>
      <c r="C36" s="78"/>
      <c r="D36" s="78"/>
      <c r="E36" s="267" t="s">
        <v>245</v>
      </c>
      <c r="F36" s="266" t="s">
        <v>387</v>
      </c>
    </row>
    <row r="37" spans="1:6" ht="15.6" x14ac:dyDescent="0.3">
      <c r="A37" s="156"/>
      <c r="B37" s="268" t="s">
        <v>231</v>
      </c>
      <c r="C37" s="269"/>
      <c r="D37" s="78"/>
      <c r="E37" s="268" t="s">
        <v>231</v>
      </c>
      <c r="F37" s="269"/>
    </row>
    <row r="38" spans="1:6" ht="30.6" customHeight="1" x14ac:dyDescent="0.3">
      <c r="A38" s="76"/>
      <c r="B38" s="270" t="s">
        <v>232</v>
      </c>
      <c r="C38" s="270"/>
      <c r="D38" s="78"/>
      <c r="E38" s="270" t="s">
        <v>232</v>
      </c>
      <c r="F38" s="270"/>
    </row>
    <row r="39" spans="1:6" x14ac:dyDescent="0.3">
      <c r="A39" s="98"/>
      <c r="B39" s="98"/>
      <c r="C39" s="76"/>
      <c r="D39" s="132"/>
      <c r="E39" s="132"/>
      <c r="F39" s="76"/>
    </row>
    <row r="40" spans="1:6" x14ac:dyDescent="0.3">
      <c r="A40" s="399" t="s">
        <v>115</v>
      </c>
      <c r="B40" s="399"/>
      <c r="C40" s="399"/>
      <c r="D40" s="399"/>
      <c r="E40" s="399"/>
      <c r="F40" s="399"/>
    </row>
    <row r="41" spans="1:6" ht="35.4" customHeight="1" x14ac:dyDescent="0.3">
      <c r="A41" s="100"/>
      <c r="B41" s="400" t="s">
        <v>190</v>
      </c>
      <c r="C41" s="400"/>
      <c r="D41" s="400"/>
      <c r="E41" s="400"/>
      <c r="F41" s="400"/>
    </row>
  </sheetData>
  <mergeCells count="17">
    <mergeCell ref="A34:F34"/>
    <mergeCell ref="B35:C35"/>
    <mergeCell ref="E35:F35"/>
    <mergeCell ref="A40:F40"/>
    <mergeCell ref="B41:F41"/>
    <mergeCell ref="A10:B10"/>
    <mergeCell ref="A11:B11"/>
    <mergeCell ref="A13:F13"/>
    <mergeCell ref="A15:A16"/>
    <mergeCell ref="B15:B16"/>
    <mergeCell ref="D15:E15"/>
    <mergeCell ref="A3:F3"/>
    <mergeCell ref="A4:F4"/>
    <mergeCell ref="A6:B7"/>
    <mergeCell ref="D6:E6"/>
    <mergeCell ref="A8:B8"/>
    <mergeCell ref="A9:B9"/>
  </mergeCells>
  <pageMargins left="0.7" right="0.7" top="0.75" bottom="0.75" header="0.3" footer="0.3"/>
  <pageSetup paperSize="9" scale="75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1"/>
  <sheetViews>
    <sheetView workbookViewId="0"/>
  </sheetViews>
  <sheetFormatPr defaultRowHeight="14.4" x14ac:dyDescent="0.3"/>
  <cols>
    <col min="4" max="4" width="10" style="56" bestFit="1" customWidth="1"/>
    <col min="5" max="5" width="11.44140625" style="56" bestFit="1" customWidth="1"/>
    <col min="6" max="6" width="12.44140625" style="56" bestFit="1" customWidth="1"/>
    <col min="7" max="7" width="10" style="56" bestFit="1" customWidth="1"/>
    <col min="8" max="8" width="11.44140625" style="56" bestFit="1" customWidth="1"/>
    <col min="12" max="12" width="10" style="56" bestFit="1" customWidth="1"/>
    <col min="13" max="13" width="11.44140625" style="56" bestFit="1" customWidth="1"/>
    <col min="14" max="14" width="12.44140625" style="56" bestFit="1" customWidth="1"/>
    <col min="15" max="15" width="10" style="56" bestFit="1" customWidth="1"/>
    <col min="16" max="16" width="12.44140625" style="56" bestFit="1" customWidth="1"/>
  </cols>
  <sheetData>
    <row r="2" spans="2:16" x14ac:dyDescent="0.3">
      <c r="B2" s="332"/>
      <c r="C2" s="337" t="s">
        <v>324</v>
      </c>
      <c r="D2" s="338"/>
      <c r="E2" s="336"/>
      <c r="F2" s="337"/>
      <c r="J2" s="332"/>
      <c r="K2" s="337" t="s">
        <v>325</v>
      </c>
      <c r="L2" s="338"/>
      <c r="M2" s="336"/>
      <c r="N2" s="337"/>
    </row>
    <row r="3" spans="2:16" x14ac:dyDescent="0.3">
      <c r="C3" s="56" t="s">
        <v>313</v>
      </c>
      <c r="D3" s="336">
        <v>110</v>
      </c>
      <c r="E3" s="336"/>
      <c r="K3" s="56" t="s">
        <v>313</v>
      </c>
      <c r="L3" s="336">
        <v>224</v>
      </c>
      <c r="M3" s="336"/>
    </row>
    <row r="4" spans="2:16" x14ac:dyDescent="0.3">
      <c r="B4" s="181"/>
      <c r="C4" s="56" t="s">
        <v>314</v>
      </c>
      <c r="D4" s="336">
        <f>D3*530</f>
        <v>58300</v>
      </c>
      <c r="E4" s="336">
        <v>1945100</v>
      </c>
      <c r="F4" s="336">
        <f>D4+E4</f>
        <v>2003400</v>
      </c>
      <c r="J4" s="181"/>
      <c r="K4" s="56" t="s">
        <v>314</v>
      </c>
      <c r="L4" s="336">
        <f>L3*530</f>
        <v>118720</v>
      </c>
      <c r="M4" s="336">
        <v>2024600</v>
      </c>
      <c r="N4" s="336">
        <f>L4+M4</f>
        <v>2143320</v>
      </c>
    </row>
    <row r="5" spans="2:16" x14ac:dyDescent="0.3">
      <c r="C5" s="336" t="s">
        <v>315</v>
      </c>
      <c r="D5" s="336">
        <f>D4*7%</f>
        <v>4081</v>
      </c>
      <c r="E5" s="336">
        <v>136157</v>
      </c>
      <c r="F5" s="336">
        <f>D5+E5</f>
        <v>140238</v>
      </c>
      <c r="K5" s="336" t="s">
        <v>315</v>
      </c>
      <c r="L5" s="336">
        <v>3504.49</v>
      </c>
      <c r="M5" s="336">
        <v>141722</v>
      </c>
      <c r="N5" s="336">
        <f>L5+M5</f>
        <v>145226.49</v>
      </c>
    </row>
    <row r="6" spans="2:16" x14ac:dyDescent="0.3">
      <c r="C6" s="56" t="s">
        <v>316</v>
      </c>
      <c r="D6" s="336">
        <f>D4+D5</f>
        <v>62381</v>
      </c>
      <c r="E6" s="336">
        <f>E4+E5</f>
        <v>2081257</v>
      </c>
      <c r="F6" s="336">
        <f>D6+E6</f>
        <v>2143638</v>
      </c>
      <c r="K6" s="56" t="s">
        <v>316</v>
      </c>
      <c r="L6" s="336">
        <f>L4+L5</f>
        <v>122224.49</v>
      </c>
      <c r="M6" s="336">
        <f>M4+M5</f>
        <v>2166322</v>
      </c>
      <c r="N6" s="336">
        <f>L6+M6</f>
        <v>2288546.4900000002</v>
      </c>
    </row>
    <row r="7" spans="2:16" x14ac:dyDescent="0.3">
      <c r="C7" s="56" t="s">
        <v>322</v>
      </c>
      <c r="D7" s="336">
        <f>D6*0.21</f>
        <v>13100.01</v>
      </c>
      <c r="E7" s="336">
        <v>437063.97</v>
      </c>
      <c r="F7" s="339">
        <f>D7+E7+G7</f>
        <v>606556.4</v>
      </c>
      <c r="G7" s="336">
        <f>156392.42</f>
        <v>156392.42000000001</v>
      </c>
      <c r="K7" s="56" t="s">
        <v>322</v>
      </c>
      <c r="L7" s="336">
        <f>L6*0.2</f>
        <v>24444.9</v>
      </c>
      <c r="M7" s="336">
        <v>433264.4</v>
      </c>
      <c r="N7" s="339">
        <f>L7+M7+O7</f>
        <v>619727.31000000006</v>
      </c>
      <c r="O7" s="336">
        <v>162018.01</v>
      </c>
    </row>
    <row r="8" spans="2:16" x14ac:dyDescent="0.3">
      <c r="C8" s="56" t="s">
        <v>317</v>
      </c>
      <c r="D8" s="336">
        <f>D6*0.9</f>
        <v>56142.9</v>
      </c>
      <c r="E8" s="336">
        <f>E6*0.9</f>
        <v>1873131.3</v>
      </c>
      <c r="F8" s="336">
        <f>D8+E8</f>
        <v>1929274.2</v>
      </c>
      <c r="K8" s="56" t="s">
        <v>317</v>
      </c>
      <c r="L8" s="336">
        <f>L6*0.9</f>
        <v>110002.04</v>
      </c>
      <c r="M8" s="336">
        <f>M6*0.9</f>
        <v>1949689.8</v>
      </c>
      <c r="N8" s="336">
        <f>L8+M8</f>
        <v>2059691.84</v>
      </c>
    </row>
    <row r="9" spans="2:16" x14ac:dyDescent="0.3">
      <c r="C9" s="56" t="s">
        <v>318</v>
      </c>
      <c r="D9" s="336">
        <f>D6*0.15</f>
        <v>9357.15</v>
      </c>
      <c r="E9" s="336">
        <f>E6*0.15</f>
        <v>312188.55</v>
      </c>
      <c r="F9" s="336">
        <f>D9+E9</f>
        <v>321545.7</v>
      </c>
      <c r="K9" s="56" t="s">
        <v>318</v>
      </c>
      <c r="L9" s="336">
        <f>L6*0.15</f>
        <v>18333.669999999998</v>
      </c>
      <c r="M9" s="336">
        <f>M6*0.15</f>
        <v>324948.3</v>
      </c>
      <c r="N9" s="336">
        <f>L9+M9</f>
        <v>343281.97</v>
      </c>
    </row>
    <row r="10" spans="2:16" x14ac:dyDescent="0.3">
      <c r="C10" s="56" t="s">
        <v>320</v>
      </c>
      <c r="D10" s="336">
        <f>D6+D8+D9+D7</f>
        <v>140981.06</v>
      </c>
      <c r="E10" s="336">
        <f>E6+E8+E9+E7</f>
        <v>4703640.82</v>
      </c>
      <c r="F10" s="339">
        <f>D10+E10+G7</f>
        <v>5001014.3</v>
      </c>
      <c r="K10" s="56" t="s">
        <v>320</v>
      </c>
      <c r="L10" s="336">
        <f>L6+L8+L9+L7</f>
        <v>275005.09999999998</v>
      </c>
      <c r="M10" s="336">
        <f>M6+M8+M9+M7</f>
        <v>4874224.5</v>
      </c>
      <c r="N10" s="339">
        <f>L10+M10+O7</f>
        <v>5311247.6100000003</v>
      </c>
    </row>
    <row r="11" spans="2:16" x14ac:dyDescent="0.3">
      <c r="C11" s="56" t="s">
        <v>319</v>
      </c>
      <c r="D11" s="336">
        <v>0</v>
      </c>
      <c r="E11" s="336">
        <f>133104</f>
        <v>133104</v>
      </c>
      <c r="F11" s="336">
        <v>0</v>
      </c>
      <c r="K11" s="56" t="s">
        <v>319</v>
      </c>
      <c r="L11" s="336">
        <v>0</v>
      </c>
      <c r="M11" s="336">
        <v>266208</v>
      </c>
      <c r="N11" s="336">
        <v>0</v>
      </c>
    </row>
    <row r="12" spans="2:16" x14ac:dyDescent="0.3">
      <c r="C12" s="56" t="s">
        <v>321</v>
      </c>
      <c r="D12" s="336">
        <f>D10+D11</f>
        <v>140981.06</v>
      </c>
      <c r="E12" s="336">
        <f>E10+E11</f>
        <v>4836744.82</v>
      </c>
      <c r="F12" s="340">
        <f>F10+F11</f>
        <v>5001014.3</v>
      </c>
      <c r="K12" s="56" t="s">
        <v>321</v>
      </c>
      <c r="L12" s="336">
        <f>L10+L11</f>
        <v>275005.09999999998</v>
      </c>
      <c r="M12" s="336">
        <f>M10+M11</f>
        <v>5140432.5</v>
      </c>
      <c r="N12" s="340">
        <f>N10+N11</f>
        <v>5311247.6100000003</v>
      </c>
    </row>
    <row r="13" spans="2:16" x14ac:dyDescent="0.3">
      <c r="C13" s="56" t="s">
        <v>312</v>
      </c>
      <c r="D13" s="336">
        <v>0</v>
      </c>
      <c r="E13" s="336">
        <v>0</v>
      </c>
      <c r="F13" s="336">
        <f>D13+E13</f>
        <v>0</v>
      </c>
      <c r="K13" s="56" t="s">
        <v>312</v>
      </c>
      <c r="L13" s="336">
        <v>0</v>
      </c>
      <c r="M13" s="336">
        <v>0</v>
      </c>
      <c r="N13" s="336">
        <f>L13+M13</f>
        <v>0</v>
      </c>
    </row>
    <row r="14" spans="2:16" ht="15" x14ac:dyDescent="0.25">
      <c r="D14" s="336">
        <f>D12+D13</f>
        <v>140981.06</v>
      </c>
      <c r="E14" s="336">
        <f>E12+E13</f>
        <v>4836744.82</v>
      </c>
      <c r="F14" s="336">
        <f>F12+F13</f>
        <v>5001014.3</v>
      </c>
      <c r="H14" s="341">
        <f>'Бизнес-план 18 190117'!G20</f>
        <v>5872089.0599999996</v>
      </c>
      <c r="L14" s="336">
        <f>L12+L13</f>
        <v>275005.09999999998</v>
      </c>
      <c r="M14" s="336">
        <f>M12+M13</f>
        <v>5140432.5</v>
      </c>
      <c r="N14" s="336">
        <f>N12+N13</f>
        <v>5311247.6100000003</v>
      </c>
      <c r="P14" s="341">
        <f>'Бизнес-план 18 190117'!H20</f>
        <v>6202999.1900000004</v>
      </c>
    </row>
    <row r="15" spans="2:16" ht="15" x14ac:dyDescent="0.25">
      <c r="D15" s="336"/>
      <c r="E15" s="336"/>
      <c r="F15" s="336"/>
      <c r="L15" s="336"/>
      <c r="M15" s="336"/>
      <c r="N15" s="336"/>
    </row>
    <row r="16" spans="2:16" ht="15" x14ac:dyDescent="0.25">
      <c r="D16" s="336"/>
      <c r="E16" s="336"/>
      <c r="F16" s="336"/>
      <c r="L16" s="336"/>
      <c r="M16" s="336"/>
      <c r="N16" s="336"/>
    </row>
    <row r="17" spans="2:16" x14ac:dyDescent="0.3">
      <c r="B17" s="332"/>
      <c r="C17" s="337" t="s">
        <v>323</v>
      </c>
      <c r="D17" s="338">
        <f>443680-D14</f>
        <v>302698.94</v>
      </c>
      <c r="E17" s="336"/>
      <c r="F17" s="337"/>
      <c r="J17" s="332"/>
      <c r="K17" s="337" t="s">
        <v>326</v>
      </c>
      <c r="L17" s="338">
        <f>887360-L14</f>
        <v>612354.9</v>
      </c>
      <c r="M17" s="336"/>
      <c r="N17" s="337"/>
    </row>
    <row r="18" spans="2:16" x14ac:dyDescent="0.3">
      <c r="C18" s="56" t="s">
        <v>313</v>
      </c>
      <c r="D18" s="336">
        <v>180</v>
      </c>
      <c r="E18" s="336"/>
      <c r="K18" s="56" t="s">
        <v>313</v>
      </c>
      <c r="L18" s="336">
        <v>360</v>
      </c>
      <c r="M18" s="336"/>
    </row>
    <row r="19" spans="2:16" x14ac:dyDescent="0.3">
      <c r="B19" s="181"/>
      <c r="C19" s="56" t="s">
        <v>314</v>
      </c>
      <c r="D19" s="336">
        <f>D18*'Бизнес-план 19 190117'!H1-0.01</f>
        <v>96439.85</v>
      </c>
      <c r="E19" s="336">
        <v>1676982</v>
      </c>
      <c r="F19" s="336">
        <f t="shared" ref="F19:F25" si="0">D19+E19</f>
        <v>1773421.85</v>
      </c>
      <c r="J19" s="181"/>
      <c r="K19" s="56" t="s">
        <v>314</v>
      </c>
      <c r="L19" s="336">
        <f>L18*'Бизнес-план 19 190117'!I1</f>
        <v>192879.72</v>
      </c>
      <c r="M19" s="336">
        <v>1339442.5</v>
      </c>
      <c r="N19" s="336">
        <f t="shared" ref="N19:N25" si="1">L19+M19</f>
        <v>1532322.22</v>
      </c>
    </row>
    <row r="20" spans="2:16" x14ac:dyDescent="0.3">
      <c r="C20" s="336" t="s">
        <v>315</v>
      </c>
      <c r="D20" s="336">
        <f>D19*7%</f>
        <v>6750.79</v>
      </c>
      <c r="E20" s="336">
        <f>117388.74-0.01</f>
        <v>117388.73</v>
      </c>
      <c r="F20" s="336">
        <f t="shared" si="0"/>
        <v>124139.52</v>
      </c>
      <c r="K20" s="336" t="s">
        <v>315</v>
      </c>
      <c r="L20" s="336">
        <f>L19*7%</f>
        <v>13501.58</v>
      </c>
      <c r="M20" s="336">
        <f>93760.97-0.01</f>
        <v>93760.960000000006</v>
      </c>
      <c r="N20" s="336">
        <f t="shared" si="1"/>
        <v>107262.54</v>
      </c>
    </row>
    <row r="21" spans="2:16" x14ac:dyDescent="0.3">
      <c r="C21" s="56" t="s">
        <v>316</v>
      </c>
      <c r="D21" s="336">
        <f>D19+D20</f>
        <v>103190.64</v>
      </c>
      <c r="E21" s="336">
        <f>E19+E20</f>
        <v>1794370.73</v>
      </c>
      <c r="F21" s="336">
        <f t="shared" si="0"/>
        <v>1897561.37</v>
      </c>
      <c r="K21" s="56" t="s">
        <v>316</v>
      </c>
      <c r="L21" s="336">
        <f>L19+L20</f>
        <v>206381.3</v>
      </c>
      <c r="M21" s="336">
        <f>M19+M20</f>
        <v>1433203.46</v>
      </c>
      <c r="N21" s="336">
        <f t="shared" si="1"/>
        <v>1639584.76</v>
      </c>
    </row>
    <row r="22" spans="2:16" x14ac:dyDescent="0.3">
      <c r="C22" s="56" t="s">
        <v>322</v>
      </c>
      <c r="D22" s="336">
        <f>D21*0.27</f>
        <v>27861.47</v>
      </c>
      <c r="E22" s="336">
        <f>E21*0.27-0.01</f>
        <v>484480.09</v>
      </c>
      <c r="F22" s="336">
        <f t="shared" si="0"/>
        <v>512341.56</v>
      </c>
      <c r="K22" s="56" t="s">
        <v>322</v>
      </c>
      <c r="L22" s="336">
        <f>L21*0.26-0.01</f>
        <v>53659.13</v>
      </c>
      <c r="M22" s="336">
        <f>M21*0.26-0.01</f>
        <v>372632.89</v>
      </c>
      <c r="N22" s="336">
        <f t="shared" si="1"/>
        <v>426292.02</v>
      </c>
    </row>
    <row r="23" spans="2:16" x14ac:dyDescent="0.3">
      <c r="C23" s="56" t="s">
        <v>317</v>
      </c>
      <c r="D23" s="336">
        <f>D21*0.9-0.01</f>
        <v>92871.57</v>
      </c>
      <c r="E23" s="336">
        <f>E21*0.9-0.01</f>
        <v>1614933.65</v>
      </c>
      <c r="F23" s="336">
        <f t="shared" si="0"/>
        <v>1707805.22</v>
      </c>
      <c r="K23" s="56" t="s">
        <v>317</v>
      </c>
      <c r="L23" s="336">
        <f>L21*0.9</f>
        <v>185743.17</v>
      </c>
      <c r="M23" s="336">
        <f>M21*0.9</f>
        <v>1289883.1100000001</v>
      </c>
      <c r="N23" s="336">
        <f t="shared" si="1"/>
        <v>1475626.28</v>
      </c>
    </row>
    <row r="24" spans="2:16" x14ac:dyDescent="0.3">
      <c r="C24" s="56" t="s">
        <v>318</v>
      </c>
      <c r="D24" s="336">
        <f>D21*0.15-0.01</f>
        <v>15478.59</v>
      </c>
      <c r="E24" s="336">
        <f>E21*0.15-0.01</f>
        <v>269155.59999999998</v>
      </c>
      <c r="F24" s="336">
        <f t="shared" si="0"/>
        <v>284634.19</v>
      </c>
      <c r="K24" s="56" t="s">
        <v>318</v>
      </c>
      <c r="L24" s="336">
        <f>L21*0.15-0.01</f>
        <v>30957.19</v>
      </c>
      <c r="M24" s="336">
        <f>M21*0.15-0.01</f>
        <v>214980.51</v>
      </c>
      <c r="N24" s="336">
        <f t="shared" si="1"/>
        <v>245937.7</v>
      </c>
    </row>
    <row r="25" spans="2:16" x14ac:dyDescent="0.3">
      <c r="C25" s="56" t="s">
        <v>320</v>
      </c>
      <c r="D25" s="336">
        <f>D21+D23+D24+D22</f>
        <v>239402.27</v>
      </c>
      <c r="E25" s="336">
        <f>E21+E23+E24+E22</f>
        <v>4162940.07</v>
      </c>
      <c r="F25" s="336">
        <f t="shared" si="0"/>
        <v>4402342.34</v>
      </c>
      <c r="K25" s="56" t="s">
        <v>320</v>
      </c>
      <c r="L25" s="336">
        <f>L21+L23+L24+L22</f>
        <v>476740.79</v>
      </c>
      <c r="M25" s="336">
        <f>M21+M23+M24+M22</f>
        <v>3310699.97</v>
      </c>
      <c r="N25" s="336">
        <f t="shared" si="1"/>
        <v>3787440.76</v>
      </c>
    </row>
    <row r="26" spans="2:16" x14ac:dyDescent="0.3">
      <c r="C26" s="56" t="s">
        <v>319</v>
      </c>
      <c r="D26" s="336">
        <v>0</v>
      </c>
      <c r="E26" s="336">
        <v>590576</v>
      </c>
      <c r="F26" s="336">
        <f>280000</f>
        <v>280000</v>
      </c>
      <c r="K26" s="56" t="s">
        <v>319</v>
      </c>
      <c r="L26" s="336">
        <v>0</v>
      </c>
      <c r="M26" s="336">
        <v>881152</v>
      </c>
      <c r="N26" s="336">
        <v>260000</v>
      </c>
    </row>
    <row r="27" spans="2:16" x14ac:dyDescent="0.3">
      <c r="C27" s="56" t="s">
        <v>321</v>
      </c>
      <c r="D27" s="336">
        <f>D25+D26</f>
        <v>239402.27</v>
      </c>
      <c r="E27" s="336">
        <f>E25+E26</f>
        <v>4753516.07</v>
      </c>
      <c r="F27" s="340">
        <f>F25+F26</f>
        <v>4682342.34</v>
      </c>
      <c r="K27" s="56" t="s">
        <v>321</v>
      </c>
      <c r="L27" s="336">
        <f>L25+L26</f>
        <v>476740.79</v>
      </c>
      <c r="M27" s="336">
        <f>M25+M26</f>
        <v>4191851.97</v>
      </c>
      <c r="N27" s="340">
        <f>N25+N26</f>
        <v>4047440.76</v>
      </c>
    </row>
    <row r="28" spans="2:16" x14ac:dyDescent="0.3">
      <c r="C28" s="56" t="s">
        <v>312</v>
      </c>
      <c r="D28" s="336">
        <f>(D10+D25)*0.2-12780</f>
        <v>63296.67</v>
      </c>
      <c r="E28" s="336">
        <f>1779739.11</f>
        <v>1779739.11</v>
      </c>
      <c r="F28" s="342">
        <f>E28-G7+D28</f>
        <v>1686643.36</v>
      </c>
      <c r="K28" s="56" t="s">
        <v>312</v>
      </c>
      <c r="L28" s="336">
        <f>(L10+L25)*0.2-14735.07</f>
        <v>135614.10999999999</v>
      </c>
      <c r="M28" s="336">
        <f>1597715.53</f>
        <v>1597715.53</v>
      </c>
      <c r="N28" s="342">
        <f>M28-O7+L28</f>
        <v>1571311.63</v>
      </c>
    </row>
    <row r="29" spans="2:16" x14ac:dyDescent="0.3">
      <c r="D29" s="336">
        <f>D27+D28</f>
        <v>302698.94</v>
      </c>
      <c r="E29" s="336">
        <f>E27+E28</f>
        <v>6533255.1799999997</v>
      </c>
      <c r="F29" s="336">
        <f>F27+F28</f>
        <v>6368985.7000000002</v>
      </c>
      <c r="H29" s="341">
        <f>'Бизнес-план 19 190117'!H20</f>
        <v>5497910.9400000004</v>
      </c>
      <c r="L29" s="336">
        <f>L27+L28</f>
        <v>612354.9</v>
      </c>
      <c r="M29" s="336">
        <f>M27+M28</f>
        <v>5789567.5</v>
      </c>
      <c r="N29" s="336">
        <f>N27+N28</f>
        <v>5618752.3899999997</v>
      </c>
      <c r="P29" s="341">
        <f>'Бизнес-план 19 190117'!I20</f>
        <v>4727000.8099999996</v>
      </c>
    </row>
    <row r="30" spans="2:16" x14ac:dyDescent="0.3">
      <c r="D30" s="336">
        <f>D29-D17</f>
        <v>0</v>
      </c>
      <c r="E30" s="336"/>
      <c r="F30" s="336"/>
      <c r="L30" s="336">
        <f>L29-L17</f>
        <v>0</v>
      </c>
      <c r="M30" s="336"/>
      <c r="N30" s="336"/>
    </row>
    <row r="31" spans="2:16" x14ac:dyDescent="0.3">
      <c r="E31" s="336"/>
      <c r="F31" s="339">
        <f>F14+F29</f>
        <v>11370000</v>
      </c>
      <c r="M31" s="336"/>
      <c r="N31" s="339">
        <f>N14+N29</f>
        <v>10930000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9"/>
  <sheetViews>
    <sheetView view="pageLayout" topLeftCell="A14" zoomScale="70" zoomScaleNormal="100" zoomScalePageLayoutView="70" workbookViewId="0">
      <selection sqref="A1:F41"/>
    </sheetView>
  </sheetViews>
  <sheetFormatPr defaultColWidth="9.109375" defaultRowHeight="18" x14ac:dyDescent="0.3"/>
  <cols>
    <col min="1" max="1" width="8.33203125" style="100" customWidth="1"/>
    <col min="2" max="2" width="85.6640625" style="80" customWidth="1"/>
    <col min="3" max="3" width="29" style="80" customWidth="1"/>
    <col min="4" max="4" width="25.88671875" style="80" customWidth="1"/>
    <col min="5" max="5" width="24.109375" style="80" customWidth="1"/>
    <col min="6" max="6" width="28.109375" style="80" customWidth="1"/>
    <col min="7" max="16384" width="9.109375" style="80"/>
  </cols>
  <sheetData>
    <row r="1" spans="1:6" ht="17.25" customHeight="1" x14ac:dyDescent="0.3">
      <c r="A1" s="77"/>
      <c r="B1" s="78"/>
      <c r="C1" s="78"/>
      <c r="D1" s="78"/>
      <c r="E1" s="78"/>
      <c r="F1" s="79" t="s">
        <v>159</v>
      </c>
    </row>
    <row r="2" spans="1:6" ht="11.25" customHeight="1" x14ac:dyDescent="0.3">
      <c r="A2" s="77"/>
      <c r="B2" s="78"/>
      <c r="C2" s="78"/>
      <c r="D2" s="78"/>
      <c r="E2" s="78"/>
      <c r="F2" s="78"/>
    </row>
    <row r="3" spans="1:6" ht="21" customHeight="1" x14ac:dyDescent="0.3">
      <c r="A3" s="409" t="s">
        <v>306</v>
      </c>
      <c r="B3" s="409"/>
      <c r="C3" s="409"/>
      <c r="D3" s="409"/>
      <c r="E3" s="409"/>
      <c r="F3" s="409"/>
    </row>
    <row r="4" spans="1:6" s="82" customFormat="1" ht="29.25" customHeight="1" x14ac:dyDescent="0.3">
      <c r="A4" s="410" t="s">
        <v>116</v>
      </c>
      <c r="B4" s="410"/>
      <c r="C4" s="410"/>
      <c r="D4" s="410"/>
      <c r="E4" s="410"/>
      <c r="F4" s="410"/>
    </row>
    <row r="5" spans="1:6" ht="16.5" customHeight="1" x14ac:dyDescent="0.3">
      <c r="A5" s="83"/>
      <c r="B5" s="138"/>
      <c r="C5" s="138"/>
      <c r="D5" s="138"/>
      <c r="E5" s="138"/>
      <c r="F5" s="84" t="s">
        <v>145</v>
      </c>
    </row>
    <row r="6" spans="1:6" ht="39" customHeight="1" x14ac:dyDescent="0.3">
      <c r="A6" s="408" t="s">
        <v>3</v>
      </c>
      <c r="B6" s="408"/>
      <c r="C6" s="137" t="s">
        <v>247</v>
      </c>
      <c r="D6" s="408" t="s">
        <v>333</v>
      </c>
      <c r="E6" s="408"/>
      <c r="F6" s="137" t="s">
        <v>249</v>
      </c>
    </row>
    <row r="7" spans="1:6" ht="18" customHeight="1" x14ac:dyDescent="0.3">
      <c r="A7" s="408"/>
      <c r="B7" s="408"/>
      <c r="C7" s="85" t="s">
        <v>160</v>
      </c>
      <c r="D7" s="85" t="s">
        <v>9</v>
      </c>
      <c r="E7" s="137" t="s">
        <v>161</v>
      </c>
      <c r="F7" s="137" t="s">
        <v>9</v>
      </c>
    </row>
    <row r="8" spans="1:6" ht="15" customHeight="1" x14ac:dyDescent="0.3">
      <c r="A8" s="411">
        <v>1</v>
      </c>
      <c r="B8" s="412"/>
      <c r="C8" s="85">
        <v>2</v>
      </c>
      <c r="D8" s="85">
        <v>3</v>
      </c>
      <c r="E8" s="137">
        <v>4</v>
      </c>
      <c r="F8" s="137">
        <v>5</v>
      </c>
    </row>
    <row r="9" spans="1:6" ht="23.25" customHeight="1" x14ac:dyDescent="0.3">
      <c r="A9" s="403" t="s">
        <v>162</v>
      </c>
      <c r="B9" s="403"/>
      <c r="C9" s="157">
        <v>0</v>
      </c>
      <c r="D9" s="85">
        <f>'Бизнес-план 18 190117'!C7</f>
        <v>6550547</v>
      </c>
      <c r="E9" s="154">
        <f>D9</f>
        <v>6550547</v>
      </c>
      <c r="F9" s="85">
        <f>'Бизнес-план 19 190117'!D7</f>
        <v>18674350</v>
      </c>
    </row>
    <row r="10" spans="1:6" ht="23.25" customHeight="1" x14ac:dyDescent="0.3">
      <c r="A10" s="403" t="s">
        <v>163</v>
      </c>
      <c r="B10" s="403"/>
      <c r="C10" s="157">
        <v>0</v>
      </c>
      <c r="D10" s="85">
        <f>'Бизнес-план 18 190117'!C8</f>
        <v>430271</v>
      </c>
      <c r="E10" s="154">
        <f t="shared" ref="E10" si="0">D10</f>
        <v>430271</v>
      </c>
      <c r="F10" s="85">
        <f>'Бизнес-план 19 190117'!D8</f>
        <v>1307205</v>
      </c>
    </row>
    <row r="11" spans="1:6" ht="23.25" customHeight="1" x14ac:dyDescent="0.3">
      <c r="A11" s="403" t="s">
        <v>164</v>
      </c>
      <c r="B11" s="403"/>
      <c r="C11" s="137" t="s">
        <v>118</v>
      </c>
      <c r="D11" s="350">
        <f>D10/D9</f>
        <v>7.0000000000000007E-2</v>
      </c>
      <c r="E11" s="350">
        <f>E10/E9</f>
        <v>7.0000000000000007E-2</v>
      </c>
      <c r="F11" s="350">
        <f>F10/F9</f>
        <v>7.0000000000000007E-2</v>
      </c>
    </row>
    <row r="12" spans="1:6" ht="12.75" customHeight="1" x14ac:dyDescent="0.3">
      <c r="A12" s="133"/>
      <c r="B12" s="133"/>
      <c r="C12" s="133"/>
      <c r="D12" s="133"/>
      <c r="E12" s="133"/>
      <c r="F12" s="133"/>
    </row>
    <row r="13" spans="1:6" ht="15" customHeight="1" x14ac:dyDescent="0.3">
      <c r="A13" s="404" t="s">
        <v>165</v>
      </c>
      <c r="B13" s="404"/>
      <c r="C13" s="404"/>
      <c r="D13" s="404"/>
      <c r="E13" s="404"/>
      <c r="F13" s="404"/>
    </row>
    <row r="14" spans="1:6" ht="17.25" customHeight="1" x14ac:dyDescent="0.3">
      <c r="A14" s="87"/>
      <c r="B14" s="88"/>
      <c r="C14" s="88"/>
      <c r="D14" s="88"/>
      <c r="E14" s="88"/>
      <c r="F14" s="89" t="s">
        <v>145</v>
      </c>
    </row>
    <row r="15" spans="1:6" ht="41.25" customHeight="1" x14ac:dyDescent="0.3">
      <c r="A15" s="405" t="s">
        <v>166</v>
      </c>
      <c r="B15" s="406" t="s">
        <v>167</v>
      </c>
      <c r="C15" s="137" t="s">
        <v>250</v>
      </c>
      <c r="D15" s="408" t="s">
        <v>248</v>
      </c>
      <c r="E15" s="408"/>
      <c r="F15" s="137" t="s">
        <v>249</v>
      </c>
    </row>
    <row r="16" spans="1:6" ht="17.25" customHeight="1" x14ac:dyDescent="0.3">
      <c r="A16" s="405"/>
      <c r="B16" s="407"/>
      <c r="C16" s="90" t="s">
        <v>160</v>
      </c>
      <c r="D16" s="90" t="s">
        <v>9</v>
      </c>
      <c r="E16" s="91" t="s">
        <v>161</v>
      </c>
      <c r="F16" s="91" t="s">
        <v>9</v>
      </c>
    </row>
    <row r="17" spans="1:6" ht="16.5" customHeight="1" x14ac:dyDescent="0.3">
      <c r="A17" s="135" t="s">
        <v>168</v>
      </c>
      <c r="B17" s="136">
        <v>2</v>
      </c>
      <c r="C17" s="90">
        <v>3</v>
      </c>
      <c r="D17" s="90">
        <v>4</v>
      </c>
      <c r="E17" s="91">
        <v>5</v>
      </c>
      <c r="F17" s="91">
        <v>6</v>
      </c>
    </row>
    <row r="18" spans="1:6" ht="41.4" x14ac:dyDescent="0.3">
      <c r="A18" s="135">
        <v>1</v>
      </c>
      <c r="B18" s="92" t="s">
        <v>169</v>
      </c>
      <c r="C18" s="137">
        <v>0</v>
      </c>
      <c r="D18" s="85">
        <f>D10</f>
        <v>430271</v>
      </c>
      <c r="E18" s="85">
        <f>D18</f>
        <v>430271</v>
      </c>
      <c r="F18" s="85">
        <f>F10</f>
        <v>1307205</v>
      </c>
    </row>
    <row r="19" spans="1:6" ht="33" customHeight="1" x14ac:dyDescent="0.3">
      <c r="A19" s="135">
        <v>2</v>
      </c>
      <c r="B19" s="92" t="s">
        <v>170</v>
      </c>
      <c r="C19" s="137">
        <v>0</v>
      </c>
      <c r="D19" s="137">
        <v>0</v>
      </c>
      <c r="E19" s="85">
        <f t="shared" ref="E19:E31" si="1">D19</f>
        <v>0</v>
      </c>
      <c r="F19" s="137">
        <v>0</v>
      </c>
    </row>
    <row r="20" spans="1:6" ht="46.5" customHeight="1" x14ac:dyDescent="0.3">
      <c r="A20" s="135">
        <v>3</v>
      </c>
      <c r="B20" s="92" t="s">
        <v>171</v>
      </c>
      <c r="C20" s="137">
        <v>0</v>
      </c>
      <c r="D20" s="137">
        <v>0</v>
      </c>
      <c r="E20" s="85">
        <f t="shared" si="1"/>
        <v>0</v>
      </c>
      <c r="F20" s="137">
        <v>0</v>
      </c>
    </row>
    <row r="21" spans="1:6" ht="30.75" customHeight="1" x14ac:dyDescent="0.3">
      <c r="A21" s="135">
        <v>4</v>
      </c>
      <c r="B21" s="92" t="s">
        <v>172</v>
      </c>
      <c r="C21" s="137">
        <v>0</v>
      </c>
      <c r="D21" s="137">
        <v>0</v>
      </c>
      <c r="E21" s="85">
        <f t="shared" si="1"/>
        <v>0</v>
      </c>
      <c r="F21" s="137">
        <v>0</v>
      </c>
    </row>
    <row r="22" spans="1:6" ht="45" customHeight="1" x14ac:dyDescent="0.3">
      <c r="A22" s="135">
        <v>5</v>
      </c>
      <c r="B22" s="92" t="s">
        <v>173</v>
      </c>
      <c r="C22" s="137">
        <v>0</v>
      </c>
      <c r="D22" s="137">
        <v>0</v>
      </c>
      <c r="E22" s="85">
        <f t="shared" si="1"/>
        <v>0</v>
      </c>
      <c r="F22" s="137">
        <v>0</v>
      </c>
    </row>
    <row r="23" spans="1:6" ht="36" customHeight="1" x14ac:dyDescent="0.3">
      <c r="A23" s="135">
        <v>6</v>
      </c>
      <c r="B23" s="92" t="s">
        <v>174</v>
      </c>
      <c r="C23" s="137">
        <v>0</v>
      </c>
      <c r="D23" s="137">
        <v>0</v>
      </c>
      <c r="E23" s="85">
        <f t="shared" si="1"/>
        <v>0</v>
      </c>
      <c r="F23" s="137">
        <v>0</v>
      </c>
    </row>
    <row r="24" spans="1:6" ht="35.25" customHeight="1" x14ac:dyDescent="0.3">
      <c r="A24" s="135" t="s">
        <v>175</v>
      </c>
      <c r="B24" s="92" t="s">
        <v>176</v>
      </c>
      <c r="C24" s="137">
        <v>0</v>
      </c>
      <c r="D24" s="137">
        <v>0</v>
      </c>
      <c r="E24" s="85">
        <f t="shared" si="1"/>
        <v>0</v>
      </c>
      <c r="F24" s="137">
        <v>0</v>
      </c>
    </row>
    <row r="25" spans="1:6" ht="36.75" customHeight="1" x14ac:dyDescent="0.3">
      <c r="A25" s="135" t="s">
        <v>177</v>
      </c>
      <c r="B25" s="92" t="s">
        <v>178</v>
      </c>
      <c r="C25" s="137">
        <v>0</v>
      </c>
      <c r="D25" s="137">
        <v>0</v>
      </c>
      <c r="E25" s="85">
        <f t="shared" si="1"/>
        <v>0</v>
      </c>
      <c r="F25" s="137">
        <v>0</v>
      </c>
    </row>
    <row r="26" spans="1:6" ht="33" customHeight="1" x14ac:dyDescent="0.3">
      <c r="A26" s="135" t="s">
        <v>179</v>
      </c>
      <c r="B26" s="92" t="s">
        <v>180</v>
      </c>
      <c r="C26" s="137">
        <v>0</v>
      </c>
      <c r="D26" s="137">
        <v>0</v>
      </c>
      <c r="E26" s="85">
        <f t="shared" si="1"/>
        <v>0</v>
      </c>
      <c r="F26" s="137">
        <v>0</v>
      </c>
    </row>
    <row r="27" spans="1:6" ht="19.5" customHeight="1" x14ac:dyDescent="0.3">
      <c r="A27" s="135" t="s">
        <v>181</v>
      </c>
      <c r="B27" s="92" t="s">
        <v>182</v>
      </c>
      <c r="C27" s="137">
        <v>0</v>
      </c>
      <c r="D27" s="137">
        <v>0</v>
      </c>
      <c r="E27" s="85">
        <f t="shared" si="1"/>
        <v>0</v>
      </c>
      <c r="F27" s="137">
        <v>0</v>
      </c>
    </row>
    <row r="28" spans="1:6" ht="35.25" customHeight="1" x14ac:dyDescent="0.3">
      <c r="A28" s="135" t="s">
        <v>183</v>
      </c>
      <c r="B28" s="92" t="s">
        <v>184</v>
      </c>
      <c r="C28" s="137">
        <v>0</v>
      </c>
      <c r="D28" s="137">
        <v>0</v>
      </c>
      <c r="E28" s="85">
        <f t="shared" si="1"/>
        <v>0</v>
      </c>
      <c r="F28" s="137">
        <v>0</v>
      </c>
    </row>
    <row r="29" spans="1:6" ht="32.25" customHeight="1" x14ac:dyDescent="0.3">
      <c r="A29" s="135" t="s">
        <v>185</v>
      </c>
      <c r="B29" s="92" t="s">
        <v>186</v>
      </c>
      <c r="C29" s="137">
        <v>0</v>
      </c>
      <c r="D29" s="137">
        <v>0</v>
      </c>
      <c r="E29" s="85">
        <f t="shared" si="1"/>
        <v>0</v>
      </c>
      <c r="F29" s="137">
        <v>0</v>
      </c>
    </row>
    <row r="30" spans="1:6" ht="30" customHeight="1" x14ac:dyDescent="0.3">
      <c r="A30" s="135" t="s">
        <v>187</v>
      </c>
      <c r="B30" s="92" t="s">
        <v>188</v>
      </c>
      <c r="C30" s="137">
        <v>0</v>
      </c>
      <c r="D30" s="137">
        <v>0</v>
      </c>
      <c r="E30" s="85">
        <f t="shared" si="1"/>
        <v>0</v>
      </c>
      <c r="F30" s="137">
        <v>0</v>
      </c>
    </row>
    <row r="31" spans="1:6" ht="30" customHeight="1" x14ac:dyDescent="0.3">
      <c r="A31" s="135" t="s">
        <v>189</v>
      </c>
      <c r="B31" s="92" t="s">
        <v>246</v>
      </c>
      <c r="C31" s="137">
        <v>0</v>
      </c>
      <c r="D31" s="137">
        <v>0</v>
      </c>
      <c r="E31" s="85">
        <f t="shared" si="1"/>
        <v>0</v>
      </c>
      <c r="F31" s="137">
        <v>0</v>
      </c>
    </row>
    <row r="32" spans="1:6" ht="19.5" customHeight="1" x14ac:dyDescent="0.3">
      <c r="A32" s="135"/>
      <c r="B32" s="93" t="s">
        <v>153</v>
      </c>
      <c r="C32" s="85">
        <f>SUM(C18:C31)</f>
        <v>0</v>
      </c>
      <c r="D32" s="85">
        <f>SUM(D18:D31)</f>
        <v>430271</v>
      </c>
      <c r="E32" s="85">
        <f>SUM(E18:E31)</f>
        <v>430271</v>
      </c>
      <c r="F32" s="85">
        <f>SUM(F18:F31)</f>
        <v>1307205</v>
      </c>
    </row>
    <row r="33" spans="1:9" ht="6" customHeight="1" x14ac:dyDescent="0.3">
      <c r="A33" s="94"/>
      <c r="B33" s="95"/>
      <c r="C33" s="134"/>
      <c r="D33" s="134"/>
      <c r="E33" s="96"/>
      <c r="F33" s="133"/>
    </row>
    <row r="34" spans="1:9" ht="7.2" customHeight="1" x14ac:dyDescent="0.3">
      <c r="A34" s="402"/>
      <c r="B34" s="402"/>
      <c r="C34" s="402"/>
      <c r="D34" s="402"/>
      <c r="E34" s="402"/>
      <c r="F34" s="402"/>
    </row>
    <row r="35" spans="1:9" ht="50.4" customHeight="1" x14ac:dyDescent="0.3">
      <c r="A35" s="76"/>
      <c r="B35" s="401" t="s">
        <v>367</v>
      </c>
      <c r="C35" s="401"/>
      <c r="D35" s="78"/>
      <c r="E35" s="401" t="s">
        <v>386</v>
      </c>
      <c r="F35" s="401"/>
    </row>
    <row r="36" spans="1:9" ht="40.200000000000003" customHeight="1" x14ac:dyDescent="0.3">
      <c r="A36" s="156"/>
      <c r="B36" s="266" t="s">
        <v>244</v>
      </c>
      <c r="C36" s="78"/>
      <c r="D36" s="78"/>
      <c r="E36" s="267" t="s">
        <v>245</v>
      </c>
      <c r="F36" s="266" t="s">
        <v>387</v>
      </c>
    </row>
    <row r="37" spans="1:9" ht="18.75" customHeight="1" x14ac:dyDescent="0.3">
      <c r="A37" s="156"/>
      <c r="B37" s="268" t="s">
        <v>231</v>
      </c>
      <c r="C37" s="269"/>
      <c r="D37" s="78"/>
      <c r="E37" s="268" t="s">
        <v>231</v>
      </c>
      <c r="F37" s="269"/>
    </row>
    <row r="38" spans="1:9" ht="18.75" customHeight="1" x14ac:dyDescent="0.3">
      <c r="A38" s="76"/>
      <c r="B38" s="270" t="s">
        <v>232</v>
      </c>
      <c r="C38" s="270"/>
      <c r="D38" s="78"/>
      <c r="E38" s="270" t="s">
        <v>232</v>
      </c>
      <c r="F38" s="270"/>
      <c r="G38" s="97"/>
      <c r="H38" s="97"/>
      <c r="I38" s="97"/>
    </row>
    <row r="39" spans="1:9" ht="14.25" customHeight="1" x14ac:dyDescent="0.3">
      <c r="A39" s="98"/>
      <c r="B39" s="98"/>
      <c r="C39" s="76"/>
      <c r="D39" s="132"/>
      <c r="E39" s="132"/>
      <c r="F39" s="76"/>
      <c r="G39" s="99"/>
      <c r="H39" s="99"/>
      <c r="I39" s="99"/>
    </row>
    <row r="40" spans="1:9" ht="15.75" customHeight="1" x14ac:dyDescent="0.3">
      <c r="A40" s="399" t="s">
        <v>115</v>
      </c>
      <c r="B40" s="399"/>
      <c r="C40" s="399"/>
      <c r="D40" s="399"/>
      <c r="E40" s="399"/>
      <c r="F40" s="399"/>
    </row>
    <row r="41" spans="1:9" ht="33.75" customHeight="1" x14ac:dyDescent="0.3">
      <c r="B41" s="400" t="s">
        <v>190</v>
      </c>
      <c r="C41" s="400"/>
      <c r="D41" s="400"/>
      <c r="E41" s="400"/>
      <c r="F41" s="400"/>
    </row>
    <row r="42" spans="1:9" x14ac:dyDescent="0.3">
      <c r="A42" s="77"/>
      <c r="B42" s="78"/>
      <c r="C42" s="78"/>
      <c r="D42" s="78"/>
      <c r="E42" s="78"/>
    </row>
    <row r="44" spans="1:9" s="97" customFormat="1" x14ac:dyDescent="0.3">
      <c r="A44" s="102"/>
      <c r="B44" s="103"/>
      <c r="C44" s="104"/>
      <c r="D44" s="104"/>
      <c r="E44" s="104"/>
    </row>
    <row r="45" spans="1:9" s="97" customFormat="1" x14ac:dyDescent="0.3">
      <c r="A45" s="102"/>
      <c r="B45" s="103"/>
      <c r="C45" s="104"/>
      <c r="D45" s="104"/>
      <c r="E45" s="104"/>
    </row>
    <row r="46" spans="1:9" s="97" customFormat="1" x14ac:dyDescent="0.3">
      <c r="A46" s="102"/>
      <c r="B46" s="103"/>
      <c r="C46" s="104"/>
      <c r="D46" s="104"/>
      <c r="E46" s="104"/>
    </row>
    <row r="47" spans="1:9" s="97" customFormat="1" x14ac:dyDescent="0.3">
      <c r="A47" s="102"/>
      <c r="B47" s="103"/>
      <c r="C47" s="104"/>
      <c r="D47" s="104"/>
      <c r="E47" s="104"/>
    </row>
    <row r="48" spans="1:9" s="97" customFormat="1" x14ac:dyDescent="0.3">
      <c r="A48" s="102"/>
      <c r="B48" s="103"/>
      <c r="C48" s="104"/>
      <c r="D48" s="104"/>
      <c r="E48" s="104"/>
    </row>
    <row r="49" spans="1:5" s="97" customFormat="1" ht="48" customHeight="1" x14ac:dyDescent="0.3">
      <c r="A49" s="102"/>
      <c r="B49" s="103"/>
      <c r="C49" s="104"/>
      <c r="D49" s="104"/>
      <c r="E49" s="104"/>
    </row>
    <row r="50" spans="1:5" s="97" customFormat="1" ht="49.5" customHeight="1" x14ac:dyDescent="0.3">
      <c r="A50" s="102"/>
      <c r="B50" s="103"/>
      <c r="C50" s="104"/>
      <c r="D50" s="104"/>
      <c r="E50" s="104"/>
    </row>
    <row r="51" spans="1:5" ht="47.25" customHeight="1" x14ac:dyDescent="0.3"/>
    <row r="52" spans="1:5" ht="35.25" customHeight="1" x14ac:dyDescent="0.3"/>
    <row r="53" spans="1:5" ht="32.25" customHeight="1" x14ac:dyDescent="0.3"/>
    <row r="54" spans="1:5" ht="26.25" customHeight="1" x14ac:dyDescent="0.3"/>
    <row r="55" spans="1:5" ht="63.75" customHeight="1" x14ac:dyDescent="0.3"/>
    <row r="60" spans="1:5" x14ac:dyDescent="0.3">
      <c r="A60" s="80"/>
    </row>
    <row r="61" spans="1:5" x14ac:dyDescent="0.3">
      <c r="A61" s="80"/>
    </row>
    <row r="62" spans="1:5" x14ac:dyDescent="0.3">
      <c r="A62" s="80"/>
    </row>
    <row r="63" spans="1:5" x14ac:dyDescent="0.3">
      <c r="A63" s="80"/>
    </row>
    <row r="64" spans="1:5" x14ac:dyDescent="0.3">
      <c r="A64" s="80"/>
    </row>
    <row r="65" spans="1:1" x14ac:dyDescent="0.3">
      <c r="A65" s="80"/>
    </row>
    <row r="66" spans="1:1" x14ac:dyDescent="0.3">
      <c r="A66" s="80"/>
    </row>
    <row r="67" spans="1:1" x14ac:dyDescent="0.3">
      <c r="A67" s="80"/>
    </row>
    <row r="68" spans="1:1" x14ac:dyDescent="0.3">
      <c r="A68" s="80"/>
    </row>
    <row r="69" spans="1:1" x14ac:dyDescent="0.3">
      <c r="A69" s="80"/>
    </row>
    <row r="70" spans="1:1" x14ac:dyDescent="0.3">
      <c r="A70" s="80"/>
    </row>
    <row r="71" spans="1:1" x14ac:dyDescent="0.3">
      <c r="A71" s="80"/>
    </row>
    <row r="72" spans="1:1" x14ac:dyDescent="0.3">
      <c r="A72" s="80"/>
    </row>
    <row r="73" spans="1:1" x14ac:dyDescent="0.3">
      <c r="A73" s="80"/>
    </row>
    <row r="74" spans="1:1" x14ac:dyDescent="0.3">
      <c r="A74" s="80"/>
    </row>
    <row r="75" spans="1:1" x14ac:dyDescent="0.3">
      <c r="A75" s="80"/>
    </row>
    <row r="76" spans="1:1" x14ac:dyDescent="0.3">
      <c r="A76" s="80"/>
    </row>
    <row r="77" spans="1:1" x14ac:dyDescent="0.3">
      <c r="A77" s="80"/>
    </row>
    <row r="78" spans="1:1" x14ac:dyDescent="0.3">
      <c r="A78" s="80"/>
    </row>
    <row r="79" spans="1:1" x14ac:dyDescent="0.3">
      <c r="A79" s="80"/>
    </row>
    <row r="80" spans="1:1" x14ac:dyDescent="0.3">
      <c r="A80" s="80"/>
    </row>
    <row r="81" spans="1:1" x14ac:dyDescent="0.3">
      <c r="A81" s="80"/>
    </row>
    <row r="82" spans="1:1" x14ac:dyDescent="0.3">
      <c r="A82" s="80"/>
    </row>
    <row r="83" spans="1:1" x14ac:dyDescent="0.3">
      <c r="A83" s="80"/>
    </row>
    <row r="84" spans="1:1" x14ac:dyDescent="0.3">
      <c r="A84" s="80"/>
    </row>
    <row r="85" spans="1:1" x14ac:dyDescent="0.3">
      <c r="A85" s="80"/>
    </row>
    <row r="86" spans="1:1" x14ac:dyDescent="0.3">
      <c r="A86" s="80"/>
    </row>
    <row r="87" spans="1:1" x14ac:dyDescent="0.3">
      <c r="A87" s="80"/>
    </row>
    <row r="88" spans="1:1" x14ac:dyDescent="0.3">
      <c r="A88" s="80"/>
    </row>
    <row r="89" spans="1:1" x14ac:dyDescent="0.3">
      <c r="A89" s="80"/>
    </row>
  </sheetData>
  <mergeCells count="17">
    <mergeCell ref="A9:B9"/>
    <mergeCell ref="A3:F3"/>
    <mergeCell ref="A4:F4"/>
    <mergeCell ref="A6:B7"/>
    <mergeCell ref="D6:E6"/>
    <mergeCell ref="A8:B8"/>
    <mergeCell ref="A10:B10"/>
    <mergeCell ref="A11:B11"/>
    <mergeCell ref="A13:F13"/>
    <mergeCell ref="A15:A16"/>
    <mergeCell ref="B15:B16"/>
    <mergeCell ref="D15:E15"/>
    <mergeCell ref="A40:F40"/>
    <mergeCell ref="B41:F41"/>
    <mergeCell ref="B35:C35"/>
    <mergeCell ref="A34:F34"/>
    <mergeCell ref="E35:F35"/>
  </mergeCells>
  <printOptions horizontalCentered="1"/>
  <pageMargins left="7.874015748031496E-2" right="0.23622047244094491" top="0.35433070866141736" bottom="0.35433070866141736" header="0" footer="0"/>
  <pageSetup paperSize="9" scale="44" firstPageNumber="24" fitToHeight="0" orientation="landscape" r:id="rId1"/>
  <rowBreaks count="1" manualBreakCount="1">
    <brk id="41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workbookViewId="0"/>
  </sheetViews>
  <sheetFormatPr defaultColWidth="9.109375" defaultRowHeight="18" x14ac:dyDescent="0.3"/>
  <cols>
    <col min="1" max="1" width="8.33203125" style="100" customWidth="1"/>
    <col min="2" max="2" width="76.88671875" style="80" customWidth="1"/>
    <col min="3" max="3" width="29" style="80" customWidth="1"/>
    <col min="4" max="4" width="25.88671875" style="80" customWidth="1"/>
    <col min="5" max="5" width="24.109375" style="80" customWidth="1"/>
    <col min="6" max="6" width="28.109375" style="80" customWidth="1"/>
    <col min="7" max="7" width="20.44140625" style="80" customWidth="1"/>
    <col min="8" max="8" width="9.109375" style="80"/>
    <col min="9" max="9" width="89.44140625" style="80" customWidth="1"/>
    <col min="10" max="16384" width="9.109375" style="80"/>
  </cols>
  <sheetData>
    <row r="1" spans="1:7" ht="17.25" customHeight="1" x14ac:dyDescent="0.3">
      <c r="A1" s="77"/>
      <c r="B1" s="78"/>
      <c r="C1" s="78"/>
      <c r="D1" s="78"/>
      <c r="E1" s="78"/>
      <c r="F1" s="79" t="s">
        <v>159</v>
      </c>
      <c r="G1" s="78"/>
    </row>
    <row r="2" spans="1:7" ht="11.25" customHeight="1" x14ac:dyDescent="0.25">
      <c r="A2" s="77"/>
      <c r="B2" s="78"/>
      <c r="C2" s="78"/>
      <c r="D2" s="78"/>
      <c r="E2" s="78"/>
      <c r="F2" s="78"/>
      <c r="G2" s="78"/>
    </row>
    <row r="3" spans="1:7" ht="21" customHeight="1" x14ac:dyDescent="0.3">
      <c r="A3" s="409" t="s">
        <v>307</v>
      </c>
      <c r="B3" s="409"/>
      <c r="C3" s="409"/>
      <c r="D3" s="409"/>
      <c r="E3" s="409"/>
      <c r="F3" s="409"/>
      <c r="G3" s="78"/>
    </row>
    <row r="4" spans="1:7" s="82" customFormat="1" ht="19.95" customHeight="1" x14ac:dyDescent="0.3">
      <c r="A4" s="410" t="s">
        <v>116</v>
      </c>
      <c r="B4" s="410"/>
      <c r="C4" s="410"/>
      <c r="D4" s="410"/>
      <c r="E4" s="410"/>
      <c r="F4" s="410"/>
      <c r="G4" s="81"/>
    </row>
    <row r="5" spans="1:7" ht="13.95" customHeight="1" x14ac:dyDescent="0.3">
      <c r="A5" s="83"/>
      <c r="B5" s="210"/>
      <c r="C5" s="210"/>
      <c r="D5" s="210"/>
      <c r="E5" s="210"/>
      <c r="F5" s="84" t="s">
        <v>145</v>
      </c>
      <c r="G5" s="78"/>
    </row>
    <row r="6" spans="1:7" ht="39" customHeight="1" x14ac:dyDescent="0.3">
      <c r="A6" s="408" t="s">
        <v>3</v>
      </c>
      <c r="B6" s="408"/>
      <c r="C6" s="228" t="s">
        <v>308</v>
      </c>
      <c r="D6" s="408" t="s">
        <v>332</v>
      </c>
      <c r="E6" s="408"/>
      <c r="F6" s="228" t="s">
        <v>304</v>
      </c>
      <c r="G6" s="78"/>
    </row>
    <row r="7" spans="1:7" ht="18" customHeight="1" x14ac:dyDescent="0.3">
      <c r="A7" s="408"/>
      <c r="B7" s="408"/>
      <c r="C7" s="85" t="s">
        <v>160</v>
      </c>
      <c r="D7" s="85" t="s">
        <v>9</v>
      </c>
      <c r="E7" s="228" t="s">
        <v>161</v>
      </c>
      <c r="F7" s="228" t="s">
        <v>9</v>
      </c>
      <c r="G7" s="78"/>
    </row>
    <row r="8" spans="1:7" ht="15" customHeight="1" x14ac:dyDescent="0.25">
      <c r="A8" s="411">
        <v>1</v>
      </c>
      <c r="B8" s="412"/>
      <c r="C8" s="85">
        <v>2</v>
      </c>
      <c r="D8" s="85">
        <v>3</v>
      </c>
      <c r="E8" s="228">
        <v>4</v>
      </c>
      <c r="F8" s="228">
        <v>5</v>
      </c>
      <c r="G8" s="78"/>
    </row>
    <row r="9" spans="1:7" ht="23.25" customHeight="1" x14ac:dyDescent="0.3">
      <c r="A9" s="403" t="s">
        <v>162</v>
      </c>
      <c r="B9" s="403"/>
      <c r="C9" s="85" t="s">
        <v>118</v>
      </c>
      <c r="D9" s="85">
        <f>'Бизнес-план 19 190117'!D7</f>
        <v>18674350</v>
      </c>
      <c r="E9" s="154" t="s">
        <v>118</v>
      </c>
      <c r="F9" s="85">
        <f>'Бизнес-план 20 190117'!C7</f>
        <v>18834597</v>
      </c>
      <c r="G9" s="78"/>
    </row>
    <row r="10" spans="1:7" ht="23.25" customHeight="1" x14ac:dyDescent="0.3">
      <c r="A10" s="403" t="s">
        <v>163</v>
      </c>
      <c r="B10" s="403"/>
      <c r="C10" s="85" t="s">
        <v>118</v>
      </c>
      <c r="D10" s="85">
        <f>'Бизнес-план 19 190117'!D8</f>
        <v>1307205</v>
      </c>
      <c r="E10" s="86" t="s">
        <v>118</v>
      </c>
      <c r="F10" s="85">
        <f>'Бизнес-план 20 190117'!C8</f>
        <v>1318422</v>
      </c>
      <c r="G10" s="78"/>
    </row>
    <row r="11" spans="1:7" ht="23.25" customHeight="1" x14ac:dyDescent="0.3">
      <c r="A11" s="403" t="s">
        <v>164</v>
      </c>
      <c r="B11" s="403"/>
      <c r="C11" s="350" t="s">
        <v>118</v>
      </c>
      <c r="D11" s="350">
        <f>D10/D9</f>
        <v>7.0000000000000007E-2</v>
      </c>
      <c r="E11" s="228" t="s">
        <v>118</v>
      </c>
      <c r="F11" s="350">
        <f>F10/F9</f>
        <v>7.0000000000000007E-2</v>
      </c>
      <c r="G11" s="78"/>
    </row>
    <row r="12" spans="1:7" ht="12.75" customHeight="1" x14ac:dyDescent="0.25">
      <c r="A12" s="231"/>
      <c r="B12" s="231"/>
      <c r="C12" s="231"/>
      <c r="D12" s="231"/>
      <c r="E12" s="231"/>
      <c r="F12" s="231"/>
      <c r="G12" s="78"/>
    </row>
    <row r="13" spans="1:7" ht="15" customHeight="1" x14ac:dyDescent="0.3">
      <c r="A13" s="404" t="s">
        <v>165</v>
      </c>
      <c r="B13" s="404"/>
      <c r="C13" s="404"/>
      <c r="D13" s="404"/>
      <c r="E13" s="404"/>
      <c r="F13" s="404"/>
      <c r="G13" s="78"/>
    </row>
    <row r="14" spans="1:7" ht="13.95" customHeight="1" x14ac:dyDescent="0.3">
      <c r="A14" s="87"/>
      <c r="B14" s="88"/>
      <c r="C14" s="88"/>
      <c r="D14" s="88"/>
      <c r="E14" s="88"/>
      <c r="F14" s="89" t="s">
        <v>145</v>
      </c>
      <c r="G14" s="78"/>
    </row>
    <row r="15" spans="1:7" ht="41.25" customHeight="1" x14ac:dyDescent="0.3">
      <c r="A15" s="405" t="s">
        <v>166</v>
      </c>
      <c r="B15" s="406" t="s">
        <v>167</v>
      </c>
      <c r="C15" s="228" t="s">
        <v>250</v>
      </c>
      <c r="D15" s="408" t="s">
        <v>303</v>
      </c>
      <c r="E15" s="408"/>
      <c r="F15" s="242" t="s">
        <v>304</v>
      </c>
      <c r="G15" s="78"/>
    </row>
    <row r="16" spans="1:7" ht="17.25" customHeight="1" x14ac:dyDescent="0.3">
      <c r="A16" s="405"/>
      <c r="B16" s="407"/>
      <c r="C16" s="90" t="s">
        <v>160</v>
      </c>
      <c r="D16" s="90" t="s">
        <v>9</v>
      </c>
      <c r="E16" s="91" t="s">
        <v>161</v>
      </c>
      <c r="F16" s="91" t="s">
        <v>9</v>
      </c>
      <c r="G16" s="78"/>
    </row>
    <row r="17" spans="1:7" ht="16.5" customHeight="1" x14ac:dyDescent="0.3">
      <c r="A17" s="229" t="s">
        <v>168</v>
      </c>
      <c r="B17" s="230">
        <v>2</v>
      </c>
      <c r="C17" s="90">
        <v>3</v>
      </c>
      <c r="D17" s="90">
        <v>4</v>
      </c>
      <c r="E17" s="91">
        <v>5</v>
      </c>
      <c r="F17" s="91">
        <v>6</v>
      </c>
      <c r="G17" s="78"/>
    </row>
    <row r="18" spans="1:7" ht="41.4" x14ac:dyDescent="0.3">
      <c r="A18" s="229">
        <v>1</v>
      </c>
      <c r="B18" s="92" t="s">
        <v>169</v>
      </c>
      <c r="C18" s="85" t="str">
        <f>C10</f>
        <v>-</v>
      </c>
      <c r="D18" s="85">
        <f>D10</f>
        <v>1307205</v>
      </c>
      <c r="E18" s="155" t="s">
        <v>118</v>
      </c>
      <c r="F18" s="85">
        <f>F10</f>
        <v>1318422</v>
      </c>
      <c r="G18" s="78"/>
    </row>
    <row r="19" spans="1:7" ht="48" customHeight="1" x14ac:dyDescent="0.3">
      <c r="A19" s="229">
        <v>2</v>
      </c>
      <c r="B19" s="92" t="s">
        <v>170</v>
      </c>
      <c r="C19" s="228" t="s">
        <v>118</v>
      </c>
      <c r="D19" s="228">
        <v>0</v>
      </c>
      <c r="E19" s="228" t="s">
        <v>118</v>
      </c>
      <c r="F19" s="228">
        <v>0</v>
      </c>
      <c r="G19" s="78"/>
    </row>
    <row r="20" spans="1:7" ht="52.95" customHeight="1" x14ac:dyDescent="0.3">
      <c r="A20" s="229">
        <v>3</v>
      </c>
      <c r="B20" s="92" t="s">
        <v>171</v>
      </c>
      <c r="C20" s="228" t="s">
        <v>118</v>
      </c>
      <c r="D20" s="228">
        <v>0</v>
      </c>
      <c r="E20" s="228" t="s">
        <v>118</v>
      </c>
      <c r="F20" s="228">
        <v>0</v>
      </c>
      <c r="G20" s="78"/>
    </row>
    <row r="21" spans="1:7" ht="27.6" x14ac:dyDescent="0.3">
      <c r="A21" s="229">
        <v>4</v>
      </c>
      <c r="B21" s="92" t="s">
        <v>172</v>
      </c>
      <c r="C21" s="228" t="s">
        <v>118</v>
      </c>
      <c r="D21" s="228">
        <v>0</v>
      </c>
      <c r="E21" s="228" t="s">
        <v>118</v>
      </c>
      <c r="F21" s="228">
        <v>0</v>
      </c>
      <c r="G21" s="78"/>
    </row>
    <row r="22" spans="1:7" ht="41.4" x14ac:dyDescent="0.3">
      <c r="A22" s="229">
        <v>5</v>
      </c>
      <c r="B22" s="92" t="s">
        <v>173</v>
      </c>
      <c r="C22" s="228" t="s">
        <v>118</v>
      </c>
      <c r="D22" s="228">
        <v>0</v>
      </c>
      <c r="E22" s="228" t="s">
        <v>118</v>
      </c>
      <c r="F22" s="228">
        <v>0</v>
      </c>
      <c r="G22" s="78"/>
    </row>
    <row r="23" spans="1:7" ht="27.6" x14ac:dyDescent="0.3">
      <c r="A23" s="229">
        <v>6</v>
      </c>
      <c r="B23" s="92" t="s">
        <v>174</v>
      </c>
      <c r="C23" s="228" t="s">
        <v>118</v>
      </c>
      <c r="D23" s="228">
        <v>0</v>
      </c>
      <c r="E23" s="228" t="s">
        <v>118</v>
      </c>
      <c r="F23" s="228">
        <v>0</v>
      </c>
      <c r="G23" s="78"/>
    </row>
    <row r="24" spans="1:7" ht="35.25" customHeight="1" x14ac:dyDescent="0.3">
      <c r="A24" s="229" t="s">
        <v>175</v>
      </c>
      <c r="B24" s="92" t="s">
        <v>176</v>
      </c>
      <c r="C24" s="228" t="s">
        <v>118</v>
      </c>
      <c r="D24" s="228">
        <v>0</v>
      </c>
      <c r="E24" s="228" t="s">
        <v>118</v>
      </c>
      <c r="F24" s="228">
        <v>0</v>
      </c>
      <c r="G24" s="78"/>
    </row>
    <row r="25" spans="1:7" ht="36.75" customHeight="1" x14ac:dyDescent="0.3">
      <c r="A25" s="229" t="s">
        <v>177</v>
      </c>
      <c r="B25" s="92" t="s">
        <v>178</v>
      </c>
      <c r="C25" s="228" t="s">
        <v>118</v>
      </c>
      <c r="D25" s="228">
        <v>0</v>
      </c>
      <c r="E25" s="228" t="s">
        <v>118</v>
      </c>
      <c r="F25" s="228">
        <v>0</v>
      </c>
      <c r="G25" s="78"/>
    </row>
    <row r="26" spans="1:7" ht="33" customHeight="1" x14ac:dyDescent="0.3">
      <c r="A26" s="229" t="s">
        <v>179</v>
      </c>
      <c r="B26" s="92" t="s">
        <v>180</v>
      </c>
      <c r="C26" s="228" t="s">
        <v>118</v>
      </c>
      <c r="D26" s="228">
        <v>0</v>
      </c>
      <c r="E26" s="228" t="s">
        <v>118</v>
      </c>
      <c r="F26" s="228">
        <v>0</v>
      </c>
      <c r="G26" s="78"/>
    </row>
    <row r="27" spans="1:7" ht="19.5" customHeight="1" x14ac:dyDescent="0.3">
      <c r="A27" s="229" t="s">
        <v>181</v>
      </c>
      <c r="B27" s="92" t="s">
        <v>182</v>
      </c>
      <c r="C27" s="228" t="s">
        <v>118</v>
      </c>
      <c r="D27" s="228">
        <v>0</v>
      </c>
      <c r="E27" s="228" t="s">
        <v>118</v>
      </c>
      <c r="F27" s="228">
        <v>0</v>
      </c>
      <c r="G27" s="78"/>
    </row>
    <row r="28" spans="1:7" ht="35.25" customHeight="1" x14ac:dyDescent="0.3">
      <c r="A28" s="229" t="s">
        <v>183</v>
      </c>
      <c r="B28" s="92" t="s">
        <v>184</v>
      </c>
      <c r="C28" s="228" t="s">
        <v>118</v>
      </c>
      <c r="D28" s="228">
        <v>0</v>
      </c>
      <c r="E28" s="228" t="s">
        <v>118</v>
      </c>
      <c r="F28" s="228">
        <v>0</v>
      </c>
      <c r="G28" s="78"/>
    </row>
    <row r="29" spans="1:7" ht="32.25" customHeight="1" x14ac:dyDescent="0.3">
      <c r="A29" s="229" t="s">
        <v>185</v>
      </c>
      <c r="B29" s="92" t="s">
        <v>186</v>
      </c>
      <c r="C29" s="228" t="s">
        <v>118</v>
      </c>
      <c r="D29" s="228">
        <v>0</v>
      </c>
      <c r="E29" s="228" t="s">
        <v>118</v>
      </c>
      <c r="F29" s="228">
        <v>0</v>
      </c>
      <c r="G29" s="78"/>
    </row>
    <row r="30" spans="1:7" ht="30" customHeight="1" x14ac:dyDescent="0.3">
      <c r="A30" s="229" t="s">
        <v>187</v>
      </c>
      <c r="B30" s="92" t="s">
        <v>188</v>
      </c>
      <c r="C30" s="228" t="s">
        <v>118</v>
      </c>
      <c r="D30" s="228">
        <v>0</v>
      </c>
      <c r="E30" s="228" t="s">
        <v>118</v>
      </c>
      <c r="F30" s="228">
        <v>0</v>
      </c>
      <c r="G30" s="78"/>
    </row>
    <row r="31" spans="1:7" ht="30" customHeight="1" x14ac:dyDescent="0.3">
      <c r="A31" s="229" t="s">
        <v>189</v>
      </c>
      <c r="B31" s="92" t="s">
        <v>246</v>
      </c>
      <c r="C31" s="228" t="s">
        <v>118</v>
      </c>
      <c r="D31" s="228">
        <v>0</v>
      </c>
      <c r="E31" s="155" t="s">
        <v>118</v>
      </c>
      <c r="F31" s="228">
        <v>0</v>
      </c>
      <c r="G31" s="78"/>
    </row>
    <row r="32" spans="1:7" ht="19.5" customHeight="1" x14ac:dyDescent="0.3">
      <c r="A32" s="229"/>
      <c r="B32" s="93" t="s">
        <v>153</v>
      </c>
      <c r="C32" s="85" t="s">
        <v>118</v>
      </c>
      <c r="D32" s="85">
        <f>SUM(D18:D31)</f>
        <v>1307205</v>
      </c>
      <c r="E32" s="155" t="s">
        <v>118</v>
      </c>
      <c r="F32" s="85">
        <f>SUM(F18:F31)</f>
        <v>1318422</v>
      </c>
      <c r="G32" s="78"/>
    </row>
    <row r="33" spans="1:12" ht="6" customHeight="1" x14ac:dyDescent="0.3">
      <c r="A33" s="94"/>
      <c r="B33" s="95"/>
      <c r="C33" s="209"/>
      <c r="D33" s="209"/>
      <c r="E33" s="96"/>
      <c r="F33" s="208"/>
      <c r="G33" s="78"/>
    </row>
    <row r="34" spans="1:12" ht="9.6" customHeight="1" x14ac:dyDescent="0.3">
      <c r="A34" s="402"/>
      <c r="B34" s="402"/>
      <c r="C34" s="402"/>
      <c r="D34" s="402"/>
      <c r="E34" s="402"/>
      <c r="F34" s="402"/>
      <c r="G34" s="78"/>
    </row>
    <row r="35" spans="1:12" ht="43.2" customHeight="1" x14ac:dyDescent="0.3">
      <c r="A35" s="76"/>
      <c r="B35" s="401" t="s">
        <v>367</v>
      </c>
      <c r="C35" s="401"/>
      <c r="D35" s="78"/>
      <c r="E35" s="401" t="s">
        <v>366</v>
      </c>
      <c r="F35" s="401"/>
    </row>
    <row r="36" spans="1:12" ht="37.200000000000003" customHeight="1" x14ac:dyDescent="0.3">
      <c r="A36" s="156"/>
      <c r="B36" s="266" t="s">
        <v>244</v>
      </c>
      <c r="C36" s="78"/>
      <c r="D36" s="78"/>
      <c r="E36" s="267" t="s">
        <v>245</v>
      </c>
      <c r="F36" s="266" t="s">
        <v>368</v>
      </c>
    </row>
    <row r="37" spans="1:12" ht="18.75" customHeight="1" x14ac:dyDescent="0.3">
      <c r="A37" s="156"/>
      <c r="B37" s="268" t="s">
        <v>231</v>
      </c>
      <c r="C37" s="269"/>
      <c r="D37" s="78"/>
      <c r="E37" s="268" t="s">
        <v>231</v>
      </c>
      <c r="F37" s="269"/>
    </row>
    <row r="38" spans="1:12" ht="18.75" customHeight="1" x14ac:dyDescent="0.3">
      <c r="A38" s="76"/>
      <c r="B38" s="270" t="s">
        <v>232</v>
      </c>
      <c r="C38" s="270"/>
      <c r="D38" s="78"/>
      <c r="E38" s="270" t="s">
        <v>232</v>
      </c>
      <c r="F38" s="270"/>
      <c r="G38" s="97"/>
      <c r="H38" s="97"/>
      <c r="I38" s="97"/>
      <c r="J38" s="97"/>
      <c r="K38" s="97"/>
      <c r="L38" s="97"/>
    </row>
    <row r="39" spans="1:12" ht="14.25" customHeight="1" x14ac:dyDescent="0.3">
      <c r="A39" s="98"/>
      <c r="C39" s="275"/>
      <c r="D39" s="232"/>
      <c r="E39" s="232"/>
      <c r="F39" s="275"/>
      <c r="G39" s="99"/>
      <c r="H39" s="99"/>
      <c r="I39" s="99"/>
      <c r="J39" s="99"/>
      <c r="K39" s="99"/>
      <c r="L39" s="99"/>
    </row>
    <row r="40" spans="1:12" ht="15.75" customHeight="1" x14ac:dyDescent="0.3">
      <c r="A40" s="399" t="s">
        <v>115</v>
      </c>
      <c r="B40" s="399"/>
      <c r="C40" s="399"/>
      <c r="D40" s="399"/>
      <c r="E40" s="399"/>
      <c r="F40" s="399"/>
    </row>
    <row r="41" spans="1:12" ht="33.75" customHeight="1" x14ac:dyDescent="0.3">
      <c r="B41" s="400" t="s">
        <v>190</v>
      </c>
      <c r="C41" s="400"/>
      <c r="D41" s="400"/>
      <c r="E41" s="400"/>
      <c r="F41" s="400"/>
    </row>
    <row r="42" spans="1:12" x14ac:dyDescent="0.3">
      <c r="A42" s="98"/>
      <c r="B42" s="98"/>
      <c r="C42" s="101"/>
      <c r="F42" s="98"/>
    </row>
    <row r="43" spans="1:12" x14ac:dyDescent="0.3">
      <c r="A43" s="98"/>
      <c r="B43" s="98"/>
      <c r="C43" s="2"/>
      <c r="F43" s="98"/>
    </row>
    <row r="44" spans="1:12" x14ac:dyDescent="0.3">
      <c r="A44" s="77"/>
      <c r="B44" s="78"/>
      <c r="C44" s="78"/>
      <c r="D44" s="78"/>
      <c r="E44" s="78"/>
    </row>
    <row r="46" spans="1:12" s="97" customFormat="1" x14ac:dyDescent="0.3">
      <c r="A46" s="102"/>
      <c r="B46" s="103"/>
      <c r="C46" s="104"/>
      <c r="D46" s="104"/>
      <c r="E46" s="104"/>
    </row>
    <row r="47" spans="1:12" s="97" customFormat="1" x14ac:dyDescent="0.3">
      <c r="A47" s="102"/>
      <c r="B47" s="103"/>
      <c r="C47" s="104"/>
      <c r="D47" s="104"/>
      <c r="E47" s="104"/>
    </row>
    <row r="48" spans="1:12" s="97" customFormat="1" x14ac:dyDescent="0.3">
      <c r="A48" s="102"/>
      <c r="B48" s="103"/>
      <c r="C48" s="104"/>
      <c r="D48" s="104"/>
      <c r="E48" s="104"/>
    </row>
    <row r="49" spans="1:5" s="97" customFormat="1" x14ac:dyDescent="0.3">
      <c r="A49" s="102"/>
      <c r="B49" s="103"/>
      <c r="C49" s="104"/>
      <c r="D49" s="104"/>
      <c r="E49" s="104"/>
    </row>
    <row r="50" spans="1:5" s="97" customFormat="1" x14ac:dyDescent="0.3">
      <c r="A50" s="102"/>
      <c r="B50" s="103"/>
      <c r="C50" s="104"/>
      <c r="D50" s="104"/>
      <c r="E50" s="104"/>
    </row>
    <row r="51" spans="1:5" s="97" customFormat="1" ht="48" customHeight="1" x14ac:dyDescent="0.3">
      <c r="A51" s="102"/>
      <c r="B51" s="103"/>
      <c r="C51" s="104"/>
      <c r="D51" s="104"/>
      <c r="E51" s="104"/>
    </row>
    <row r="52" spans="1:5" s="97" customFormat="1" ht="49.5" customHeight="1" x14ac:dyDescent="0.3">
      <c r="A52" s="102"/>
      <c r="B52" s="103"/>
      <c r="C52" s="104"/>
      <c r="D52" s="104"/>
      <c r="E52" s="104"/>
    </row>
    <row r="53" spans="1:5" ht="47.25" customHeight="1" x14ac:dyDescent="0.3"/>
    <row r="54" spans="1:5" ht="35.25" customHeight="1" x14ac:dyDescent="0.3"/>
    <row r="55" spans="1:5" ht="32.25" customHeight="1" x14ac:dyDescent="0.3"/>
    <row r="56" spans="1:5" ht="26.25" customHeight="1" x14ac:dyDescent="0.3"/>
    <row r="57" spans="1:5" ht="63.75" customHeight="1" x14ac:dyDescent="0.3"/>
    <row r="62" spans="1:5" x14ac:dyDescent="0.3">
      <c r="A62" s="80"/>
    </row>
    <row r="63" spans="1:5" x14ac:dyDescent="0.3">
      <c r="A63" s="80"/>
    </row>
    <row r="64" spans="1:5" x14ac:dyDescent="0.3">
      <c r="A64" s="80"/>
    </row>
    <row r="65" spans="1:1" x14ac:dyDescent="0.3">
      <c r="A65" s="80"/>
    </row>
    <row r="66" spans="1:1" x14ac:dyDescent="0.3">
      <c r="A66" s="80"/>
    </row>
    <row r="67" spans="1:1" x14ac:dyDescent="0.3">
      <c r="A67" s="80"/>
    </row>
    <row r="68" spans="1:1" x14ac:dyDescent="0.3">
      <c r="A68" s="80"/>
    </row>
    <row r="69" spans="1:1" x14ac:dyDescent="0.3">
      <c r="A69" s="80"/>
    </row>
    <row r="70" spans="1:1" x14ac:dyDescent="0.3">
      <c r="A70" s="80"/>
    </row>
    <row r="71" spans="1:1" x14ac:dyDescent="0.3">
      <c r="A71" s="80"/>
    </row>
    <row r="72" spans="1:1" x14ac:dyDescent="0.3">
      <c r="A72" s="80"/>
    </row>
    <row r="73" spans="1:1" x14ac:dyDescent="0.3">
      <c r="A73" s="80"/>
    </row>
    <row r="74" spans="1:1" x14ac:dyDescent="0.3">
      <c r="A74" s="80"/>
    </row>
    <row r="75" spans="1:1" x14ac:dyDescent="0.3">
      <c r="A75" s="80"/>
    </row>
    <row r="76" spans="1:1" x14ac:dyDescent="0.3">
      <c r="A76" s="80"/>
    </row>
    <row r="77" spans="1:1" x14ac:dyDescent="0.3">
      <c r="A77" s="80"/>
    </row>
    <row r="78" spans="1:1" x14ac:dyDescent="0.3">
      <c r="A78" s="80"/>
    </row>
    <row r="79" spans="1:1" x14ac:dyDescent="0.3">
      <c r="A79" s="80"/>
    </row>
    <row r="80" spans="1:1" x14ac:dyDescent="0.3">
      <c r="A80" s="80"/>
    </row>
    <row r="81" spans="1:1" x14ac:dyDescent="0.3">
      <c r="A81" s="80"/>
    </row>
    <row r="82" spans="1:1" x14ac:dyDescent="0.3">
      <c r="A82" s="80"/>
    </row>
    <row r="83" spans="1:1" x14ac:dyDescent="0.3">
      <c r="A83" s="80"/>
    </row>
    <row r="84" spans="1:1" x14ac:dyDescent="0.3">
      <c r="A84" s="80"/>
    </row>
    <row r="85" spans="1:1" x14ac:dyDescent="0.3">
      <c r="A85" s="80"/>
    </row>
    <row r="86" spans="1:1" x14ac:dyDescent="0.3">
      <c r="A86" s="80"/>
    </row>
    <row r="87" spans="1:1" x14ac:dyDescent="0.3">
      <c r="A87" s="80"/>
    </row>
    <row r="88" spans="1:1" x14ac:dyDescent="0.3">
      <c r="A88" s="80"/>
    </row>
    <row r="89" spans="1:1" x14ac:dyDescent="0.3">
      <c r="A89" s="80"/>
    </row>
    <row r="90" spans="1:1" x14ac:dyDescent="0.3">
      <c r="A90" s="80"/>
    </row>
    <row r="91" spans="1:1" x14ac:dyDescent="0.3">
      <c r="A91" s="80"/>
    </row>
  </sheetData>
  <mergeCells count="17">
    <mergeCell ref="B35:C35"/>
    <mergeCell ref="A40:F40"/>
    <mergeCell ref="B41:F41"/>
    <mergeCell ref="A9:B9"/>
    <mergeCell ref="E35:F35"/>
    <mergeCell ref="A10:B10"/>
    <mergeCell ref="A11:B11"/>
    <mergeCell ref="A13:F13"/>
    <mergeCell ref="A15:A16"/>
    <mergeCell ref="B15:B16"/>
    <mergeCell ref="D15:E15"/>
    <mergeCell ref="A34:F34"/>
    <mergeCell ref="A3:F3"/>
    <mergeCell ref="A4:F4"/>
    <mergeCell ref="A6:B7"/>
    <mergeCell ref="D6:E6"/>
    <mergeCell ref="A8:B8"/>
  </mergeCells>
  <printOptions horizontalCentered="1"/>
  <pageMargins left="0.25" right="0.25" top="0.75" bottom="0.75" header="0.3" footer="0.3"/>
  <pageSetup paperSize="9" scale="46" firstPageNumber="24" fitToHeight="0" orientation="landscape" r:id="rId1"/>
  <rowBreaks count="1" manualBreakCount="1">
    <brk id="43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workbookViewId="0"/>
  </sheetViews>
  <sheetFormatPr defaultColWidth="9.109375" defaultRowHeight="18" x14ac:dyDescent="0.3"/>
  <cols>
    <col min="1" max="1" width="8.33203125" style="100" customWidth="1"/>
    <col min="2" max="2" width="76.88671875" style="80" customWidth="1"/>
    <col min="3" max="3" width="29" style="80" customWidth="1"/>
    <col min="4" max="4" width="25.88671875" style="80" customWidth="1"/>
    <col min="5" max="5" width="22.5546875" style="80" customWidth="1"/>
    <col min="6" max="6" width="25.33203125" style="80" customWidth="1"/>
    <col min="7" max="7" width="20.44140625" style="80" customWidth="1"/>
    <col min="8" max="8" width="9.109375" style="80"/>
    <col min="9" max="9" width="89.44140625" style="80" customWidth="1"/>
    <col min="10" max="16384" width="9.109375" style="80"/>
  </cols>
  <sheetData>
    <row r="1" spans="1:7" ht="17.25" customHeight="1" x14ac:dyDescent="0.3">
      <c r="A1" s="77"/>
      <c r="B1" s="78"/>
      <c r="C1" s="78"/>
      <c r="D1" s="78"/>
      <c r="E1" s="78"/>
      <c r="F1" s="79" t="s">
        <v>159</v>
      </c>
      <c r="G1" s="78"/>
    </row>
    <row r="2" spans="1:7" ht="11.25" customHeight="1" x14ac:dyDescent="0.25">
      <c r="A2" s="77"/>
      <c r="B2" s="78"/>
      <c r="C2" s="78"/>
      <c r="D2" s="78"/>
      <c r="E2" s="78"/>
      <c r="F2" s="78"/>
      <c r="G2" s="78"/>
    </row>
    <row r="3" spans="1:7" ht="21" customHeight="1" x14ac:dyDescent="0.3">
      <c r="A3" s="409" t="s">
        <v>330</v>
      </c>
      <c r="B3" s="409"/>
      <c r="C3" s="409"/>
      <c r="D3" s="409"/>
      <c r="E3" s="409"/>
      <c r="F3" s="409"/>
      <c r="G3" s="78"/>
    </row>
    <row r="4" spans="1:7" s="82" customFormat="1" ht="12" customHeight="1" x14ac:dyDescent="0.3">
      <c r="A4" s="410" t="s">
        <v>116</v>
      </c>
      <c r="B4" s="410"/>
      <c r="C4" s="410"/>
      <c r="D4" s="410"/>
      <c r="E4" s="410"/>
      <c r="F4" s="410"/>
      <c r="G4" s="81"/>
    </row>
    <row r="5" spans="1:7" ht="16.2" customHeight="1" x14ac:dyDescent="0.3">
      <c r="A5" s="83"/>
      <c r="B5" s="294"/>
      <c r="C5" s="294"/>
      <c r="D5" s="294"/>
      <c r="E5" s="294"/>
      <c r="F5" s="84" t="s">
        <v>145</v>
      </c>
      <c r="G5" s="78"/>
    </row>
    <row r="6" spans="1:7" ht="36.6" customHeight="1" x14ac:dyDescent="0.3">
      <c r="A6" s="408" t="s">
        <v>3</v>
      </c>
      <c r="B6" s="408"/>
      <c r="C6" s="295" t="s">
        <v>334</v>
      </c>
      <c r="D6" s="408" t="s">
        <v>335</v>
      </c>
      <c r="E6" s="408"/>
      <c r="F6" s="295" t="s">
        <v>331</v>
      </c>
      <c r="G6" s="78"/>
    </row>
    <row r="7" spans="1:7" ht="18" customHeight="1" x14ac:dyDescent="0.3">
      <c r="A7" s="408"/>
      <c r="B7" s="408"/>
      <c r="C7" s="85" t="s">
        <v>160</v>
      </c>
      <c r="D7" s="85" t="s">
        <v>9</v>
      </c>
      <c r="E7" s="295" t="s">
        <v>161</v>
      </c>
      <c r="F7" s="295" t="s">
        <v>9</v>
      </c>
      <c r="G7" s="78"/>
    </row>
    <row r="8" spans="1:7" ht="15" customHeight="1" x14ac:dyDescent="0.25">
      <c r="A8" s="411">
        <v>1</v>
      </c>
      <c r="B8" s="412"/>
      <c r="C8" s="85">
        <v>2</v>
      </c>
      <c r="D8" s="85">
        <v>3</v>
      </c>
      <c r="E8" s="295">
        <v>4</v>
      </c>
      <c r="F8" s="295">
        <v>5</v>
      </c>
      <c r="G8" s="78"/>
    </row>
    <row r="9" spans="1:7" ht="23.25" customHeight="1" x14ac:dyDescent="0.3">
      <c r="A9" s="403" t="s">
        <v>162</v>
      </c>
      <c r="B9" s="403"/>
      <c r="C9" s="85" t="s">
        <v>118</v>
      </c>
      <c r="D9" s="85">
        <f>'Бизнес-план 20 190117'!C7</f>
        <v>18834597</v>
      </c>
      <c r="E9" s="154" t="s">
        <v>118</v>
      </c>
      <c r="F9" s="85">
        <f>'Бизнес-план 21 190117'!C7</f>
        <v>18018478</v>
      </c>
      <c r="G9" s="78"/>
    </row>
    <row r="10" spans="1:7" ht="23.25" customHeight="1" x14ac:dyDescent="0.3">
      <c r="A10" s="403" t="s">
        <v>163</v>
      </c>
      <c r="B10" s="403"/>
      <c r="C10" s="85" t="s">
        <v>118</v>
      </c>
      <c r="D10" s="85">
        <f>'Бизнес-план 20 190117'!C8</f>
        <v>1318422</v>
      </c>
      <c r="E10" s="86" t="s">
        <v>118</v>
      </c>
      <c r="F10" s="85">
        <f>'Бизнес-план 21 190117'!C8</f>
        <v>1261293</v>
      </c>
      <c r="G10" s="78"/>
    </row>
    <row r="11" spans="1:7" ht="23.25" customHeight="1" x14ac:dyDescent="0.3">
      <c r="A11" s="403" t="s">
        <v>164</v>
      </c>
      <c r="B11" s="403"/>
      <c r="C11" s="350" t="s">
        <v>118</v>
      </c>
      <c r="D11" s="350">
        <f>D10/D9</f>
        <v>7.0000000000000007E-2</v>
      </c>
      <c r="E11" s="295" t="s">
        <v>118</v>
      </c>
      <c r="F11" s="350">
        <f>F10/F9</f>
        <v>7.0000000000000007E-2</v>
      </c>
      <c r="G11" s="78"/>
    </row>
    <row r="12" spans="1:7" ht="10.199999999999999" customHeight="1" x14ac:dyDescent="0.25">
      <c r="A12" s="299"/>
      <c r="B12" s="299"/>
      <c r="C12" s="299"/>
      <c r="D12" s="299"/>
      <c r="E12" s="299"/>
      <c r="F12" s="299"/>
      <c r="G12" s="78"/>
    </row>
    <row r="13" spans="1:7" ht="15" customHeight="1" x14ac:dyDescent="0.3">
      <c r="A13" s="404" t="s">
        <v>165</v>
      </c>
      <c r="B13" s="404"/>
      <c r="C13" s="404"/>
      <c r="D13" s="404"/>
      <c r="E13" s="404"/>
      <c r="F13" s="404"/>
      <c r="G13" s="78"/>
    </row>
    <row r="14" spans="1:7" ht="15" customHeight="1" x14ac:dyDescent="0.3">
      <c r="A14" s="87"/>
      <c r="B14" s="88"/>
      <c r="C14" s="88"/>
      <c r="D14" s="88"/>
      <c r="E14" s="88"/>
      <c r="F14" s="84" t="s">
        <v>145</v>
      </c>
      <c r="G14" s="78"/>
    </row>
    <row r="15" spans="1:7" ht="36.6" customHeight="1" x14ac:dyDescent="0.3">
      <c r="A15" s="405" t="s">
        <v>166</v>
      </c>
      <c r="B15" s="406" t="s">
        <v>167</v>
      </c>
      <c r="C15" s="295" t="s">
        <v>250</v>
      </c>
      <c r="D15" s="408" t="s">
        <v>303</v>
      </c>
      <c r="E15" s="408"/>
      <c r="F15" s="295" t="s">
        <v>304</v>
      </c>
      <c r="G15" s="78"/>
    </row>
    <row r="16" spans="1:7" ht="17.25" customHeight="1" x14ac:dyDescent="0.3">
      <c r="A16" s="405"/>
      <c r="B16" s="407"/>
      <c r="C16" s="90" t="s">
        <v>160</v>
      </c>
      <c r="D16" s="90" t="s">
        <v>9</v>
      </c>
      <c r="E16" s="91" t="s">
        <v>161</v>
      </c>
      <c r="F16" s="91" t="s">
        <v>9</v>
      </c>
      <c r="G16" s="78"/>
    </row>
    <row r="17" spans="1:7" ht="16.5" customHeight="1" x14ac:dyDescent="0.3">
      <c r="A17" s="297" t="s">
        <v>168</v>
      </c>
      <c r="B17" s="298">
        <v>2</v>
      </c>
      <c r="C17" s="90">
        <v>3</v>
      </c>
      <c r="D17" s="90">
        <v>4</v>
      </c>
      <c r="E17" s="91">
        <v>5</v>
      </c>
      <c r="F17" s="91">
        <v>6</v>
      </c>
      <c r="G17" s="78"/>
    </row>
    <row r="18" spans="1:7" ht="41.4" x14ac:dyDescent="0.3">
      <c r="A18" s="297">
        <v>1</v>
      </c>
      <c r="B18" s="92" t="s">
        <v>169</v>
      </c>
      <c r="C18" s="85" t="str">
        <f>C10</f>
        <v>-</v>
      </c>
      <c r="D18" s="85">
        <f>D10</f>
        <v>1318422</v>
      </c>
      <c r="E18" s="155" t="s">
        <v>118</v>
      </c>
      <c r="F18" s="85">
        <f>F10</f>
        <v>1261293</v>
      </c>
      <c r="G18" s="78"/>
    </row>
    <row r="19" spans="1:7" ht="48" customHeight="1" x14ac:dyDescent="0.3">
      <c r="A19" s="297">
        <v>2</v>
      </c>
      <c r="B19" s="92" t="s">
        <v>170</v>
      </c>
      <c r="C19" s="295" t="s">
        <v>118</v>
      </c>
      <c r="D19" s="295">
        <v>0</v>
      </c>
      <c r="E19" s="295" t="s">
        <v>118</v>
      </c>
      <c r="F19" s="295">
        <v>0</v>
      </c>
      <c r="G19" s="78"/>
    </row>
    <row r="20" spans="1:7" ht="52.95" customHeight="1" x14ac:dyDescent="0.3">
      <c r="A20" s="297">
        <v>3</v>
      </c>
      <c r="B20" s="92" t="s">
        <v>171</v>
      </c>
      <c r="C20" s="295" t="s">
        <v>118</v>
      </c>
      <c r="D20" s="295">
        <v>0</v>
      </c>
      <c r="E20" s="295" t="s">
        <v>118</v>
      </c>
      <c r="F20" s="295">
        <v>0</v>
      </c>
      <c r="G20" s="78"/>
    </row>
    <row r="21" spans="1:7" ht="27.6" x14ac:dyDescent="0.3">
      <c r="A21" s="297">
        <v>4</v>
      </c>
      <c r="B21" s="92" t="s">
        <v>172</v>
      </c>
      <c r="C21" s="295" t="s">
        <v>118</v>
      </c>
      <c r="D21" s="295">
        <v>0</v>
      </c>
      <c r="E21" s="295" t="s">
        <v>118</v>
      </c>
      <c r="F21" s="295">
        <v>0</v>
      </c>
      <c r="G21" s="78"/>
    </row>
    <row r="22" spans="1:7" ht="41.4" x14ac:dyDescent="0.3">
      <c r="A22" s="297">
        <v>5</v>
      </c>
      <c r="B22" s="92" t="s">
        <v>173</v>
      </c>
      <c r="C22" s="295" t="s">
        <v>118</v>
      </c>
      <c r="D22" s="295">
        <v>0</v>
      </c>
      <c r="E22" s="295" t="s">
        <v>118</v>
      </c>
      <c r="F22" s="295">
        <v>0</v>
      </c>
      <c r="G22" s="78"/>
    </row>
    <row r="23" spans="1:7" ht="27.6" x14ac:dyDescent="0.3">
      <c r="A23" s="297">
        <v>6</v>
      </c>
      <c r="B23" s="92" t="s">
        <v>174</v>
      </c>
      <c r="C23" s="295" t="s">
        <v>118</v>
      </c>
      <c r="D23" s="295">
        <v>0</v>
      </c>
      <c r="E23" s="295" t="s">
        <v>118</v>
      </c>
      <c r="F23" s="295">
        <v>0</v>
      </c>
      <c r="G23" s="78"/>
    </row>
    <row r="24" spans="1:7" ht="35.25" customHeight="1" x14ac:dyDescent="0.3">
      <c r="A24" s="297" t="s">
        <v>175</v>
      </c>
      <c r="B24" s="92" t="s">
        <v>176</v>
      </c>
      <c r="C24" s="295" t="s">
        <v>118</v>
      </c>
      <c r="D24" s="295">
        <v>0</v>
      </c>
      <c r="E24" s="295" t="s">
        <v>118</v>
      </c>
      <c r="F24" s="295">
        <v>0</v>
      </c>
      <c r="G24" s="78"/>
    </row>
    <row r="25" spans="1:7" ht="36.75" customHeight="1" x14ac:dyDescent="0.3">
      <c r="A25" s="297" t="s">
        <v>177</v>
      </c>
      <c r="B25" s="92" t="s">
        <v>178</v>
      </c>
      <c r="C25" s="295" t="s">
        <v>118</v>
      </c>
      <c r="D25" s="295">
        <v>0</v>
      </c>
      <c r="E25" s="295" t="s">
        <v>118</v>
      </c>
      <c r="F25" s="295">
        <v>0</v>
      </c>
      <c r="G25" s="78"/>
    </row>
    <row r="26" spans="1:7" ht="33" customHeight="1" x14ac:dyDescent="0.3">
      <c r="A26" s="297" t="s">
        <v>179</v>
      </c>
      <c r="B26" s="92" t="s">
        <v>180</v>
      </c>
      <c r="C26" s="295" t="s">
        <v>118</v>
      </c>
      <c r="D26" s="295">
        <v>0</v>
      </c>
      <c r="E26" s="295" t="s">
        <v>118</v>
      </c>
      <c r="F26" s="295">
        <v>0</v>
      </c>
      <c r="G26" s="78"/>
    </row>
    <row r="27" spans="1:7" ht="19.5" customHeight="1" x14ac:dyDescent="0.3">
      <c r="A27" s="297" t="s">
        <v>181</v>
      </c>
      <c r="B27" s="92" t="s">
        <v>182</v>
      </c>
      <c r="C27" s="295" t="s">
        <v>118</v>
      </c>
      <c r="D27" s="295">
        <v>0</v>
      </c>
      <c r="E27" s="295" t="s">
        <v>118</v>
      </c>
      <c r="F27" s="295">
        <v>0</v>
      </c>
      <c r="G27" s="78"/>
    </row>
    <row r="28" spans="1:7" ht="35.25" customHeight="1" x14ac:dyDescent="0.3">
      <c r="A28" s="297" t="s">
        <v>183</v>
      </c>
      <c r="B28" s="92" t="s">
        <v>184</v>
      </c>
      <c r="C28" s="295" t="s">
        <v>118</v>
      </c>
      <c r="D28" s="295">
        <v>0</v>
      </c>
      <c r="E28" s="295" t="s">
        <v>118</v>
      </c>
      <c r="F28" s="295">
        <v>0</v>
      </c>
      <c r="G28" s="78"/>
    </row>
    <row r="29" spans="1:7" ht="32.25" customHeight="1" x14ac:dyDescent="0.3">
      <c r="A29" s="297" t="s">
        <v>185</v>
      </c>
      <c r="B29" s="92" t="s">
        <v>186</v>
      </c>
      <c r="C29" s="295" t="s">
        <v>118</v>
      </c>
      <c r="D29" s="295">
        <v>0</v>
      </c>
      <c r="E29" s="295" t="s">
        <v>118</v>
      </c>
      <c r="F29" s="295">
        <v>0</v>
      </c>
      <c r="G29" s="78"/>
    </row>
    <row r="30" spans="1:7" ht="30" customHeight="1" x14ac:dyDescent="0.3">
      <c r="A30" s="297" t="s">
        <v>187</v>
      </c>
      <c r="B30" s="92" t="s">
        <v>188</v>
      </c>
      <c r="C30" s="295" t="s">
        <v>118</v>
      </c>
      <c r="D30" s="295">
        <v>0</v>
      </c>
      <c r="E30" s="295" t="s">
        <v>118</v>
      </c>
      <c r="F30" s="295">
        <v>0</v>
      </c>
      <c r="G30" s="78"/>
    </row>
    <row r="31" spans="1:7" ht="30" customHeight="1" x14ac:dyDescent="0.3">
      <c r="A31" s="297" t="s">
        <v>189</v>
      </c>
      <c r="B31" s="92" t="s">
        <v>246</v>
      </c>
      <c r="C31" s="295" t="s">
        <v>118</v>
      </c>
      <c r="D31" s="295">
        <v>0</v>
      </c>
      <c r="E31" s="155" t="s">
        <v>118</v>
      </c>
      <c r="F31" s="295">
        <v>0</v>
      </c>
      <c r="G31" s="78"/>
    </row>
    <row r="32" spans="1:7" ht="19.5" customHeight="1" x14ac:dyDescent="0.3">
      <c r="A32" s="297"/>
      <c r="B32" s="93" t="s">
        <v>153</v>
      </c>
      <c r="C32" s="85" t="s">
        <v>118</v>
      </c>
      <c r="D32" s="85">
        <f>SUM(D18:D31)</f>
        <v>1318422</v>
      </c>
      <c r="E32" s="155" t="s">
        <v>118</v>
      </c>
      <c r="F32" s="85">
        <f>SUM(F18:F31)</f>
        <v>1261293</v>
      </c>
      <c r="G32" s="78"/>
    </row>
    <row r="33" spans="1:12" ht="6" customHeight="1" x14ac:dyDescent="0.3">
      <c r="A33" s="94"/>
      <c r="B33" s="95"/>
      <c r="C33" s="296"/>
      <c r="D33" s="296"/>
      <c r="E33" s="96"/>
      <c r="F33" s="299"/>
      <c r="G33" s="78"/>
    </row>
    <row r="34" spans="1:12" ht="6" customHeight="1" x14ac:dyDescent="0.3">
      <c r="A34" s="402"/>
      <c r="B34" s="402"/>
      <c r="C34" s="402"/>
      <c r="D34" s="402"/>
      <c r="E34" s="402"/>
      <c r="F34" s="402"/>
      <c r="G34" s="78"/>
    </row>
    <row r="35" spans="1:12" ht="45" customHeight="1" x14ac:dyDescent="0.3">
      <c r="A35" s="76"/>
      <c r="B35" s="401" t="s">
        <v>367</v>
      </c>
      <c r="C35" s="401"/>
      <c r="D35" s="78"/>
      <c r="E35" s="401" t="s">
        <v>366</v>
      </c>
      <c r="F35" s="401"/>
    </row>
    <row r="36" spans="1:12" ht="31.95" customHeight="1" x14ac:dyDescent="0.3">
      <c r="A36" s="156"/>
      <c r="B36" s="266" t="s">
        <v>369</v>
      </c>
      <c r="C36" s="78"/>
      <c r="D36" s="78"/>
      <c r="E36" s="267" t="s">
        <v>245</v>
      </c>
      <c r="F36" s="266" t="s">
        <v>368</v>
      </c>
    </row>
    <row r="37" spans="1:12" ht="18.75" customHeight="1" x14ac:dyDescent="0.3">
      <c r="A37" s="156"/>
      <c r="B37" s="268" t="s">
        <v>231</v>
      </c>
      <c r="C37" s="269"/>
      <c r="D37" s="78"/>
      <c r="E37" s="268" t="s">
        <v>231</v>
      </c>
      <c r="F37" s="269"/>
    </row>
    <row r="38" spans="1:12" ht="18.75" customHeight="1" x14ac:dyDescent="0.3">
      <c r="A38" s="76"/>
      <c r="B38" s="270" t="s">
        <v>232</v>
      </c>
      <c r="C38" s="270"/>
      <c r="D38" s="78"/>
      <c r="E38" s="270" t="s">
        <v>232</v>
      </c>
      <c r="F38" s="270"/>
      <c r="G38" s="97"/>
      <c r="H38" s="97"/>
      <c r="I38" s="97"/>
      <c r="J38" s="97"/>
      <c r="K38" s="97"/>
      <c r="L38" s="97"/>
    </row>
    <row r="39" spans="1:12" ht="14.25" customHeight="1" x14ac:dyDescent="0.3">
      <c r="A39" s="98"/>
      <c r="C39" s="275"/>
      <c r="D39" s="300"/>
      <c r="E39" s="300"/>
      <c r="F39" s="275"/>
      <c r="G39" s="99"/>
      <c r="H39" s="99"/>
      <c r="I39" s="99"/>
      <c r="J39" s="99"/>
      <c r="K39" s="99"/>
      <c r="L39" s="99"/>
    </row>
    <row r="40" spans="1:12" ht="15.75" customHeight="1" x14ac:dyDescent="0.3">
      <c r="A40" s="399" t="s">
        <v>115</v>
      </c>
      <c r="B40" s="399"/>
      <c r="C40" s="399"/>
      <c r="D40" s="399"/>
      <c r="E40" s="399"/>
      <c r="F40" s="399"/>
    </row>
    <row r="41" spans="1:12" ht="33.75" customHeight="1" x14ac:dyDescent="0.3">
      <c r="B41" s="400" t="s">
        <v>190</v>
      </c>
      <c r="C41" s="400"/>
      <c r="D41" s="400"/>
      <c r="E41" s="400"/>
      <c r="F41" s="400"/>
    </row>
    <row r="42" spans="1:12" x14ac:dyDescent="0.3">
      <c r="A42" s="98"/>
      <c r="B42" s="98"/>
      <c r="C42" s="101"/>
      <c r="F42" s="98"/>
    </row>
    <row r="43" spans="1:12" x14ac:dyDescent="0.3">
      <c r="A43" s="98"/>
      <c r="B43" s="98"/>
      <c r="C43" s="2"/>
      <c r="F43" s="98"/>
    </row>
    <row r="44" spans="1:12" x14ac:dyDescent="0.3">
      <c r="A44" s="77"/>
      <c r="B44" s="78"/>
      <c r="C44" s="78"/>
      <c r="D44" s="78"/>
      <c r="E44" s="78"/>
    </row>
    <row r="46" spans="1:12" s="97" customFormat="1" x14ac:dyDescent="0.3">
      <c r="A46" s="102"/>
      <c r="B46" s="103"/>
      <c r="C46" s="104"/>
      <c r="D46" s="104"/>
      <c r="E46" s="104"/>
    </row>
    <row r="47" spans="1:12" s="97" customFormat="1" x14ac:dyDescent="0.3">
      <c r="A47" s="102"/>
      <c r="B47" s="103"/>
      <c r="C47" s="104"/>
      <c r="D47" s="104"/>
      <c r="E47" s="104"/>
    </row>
    <row r="48" spans="1:12" s="97" customFormat="1" x14ac:dyDescent="0.3">
      <c r="A48" s="102"/>
      <c r="B48" s="103"/>
      <c r="C48" s="104"/>
      <c r="D48" s="104"/>
      <c r="E48" s="104"/>
    </row>
    <row r="49" spans="1:5" s="97" customFormat="1" x14ac:dyDescent="0.3">
      <c r="A49" s="102"/>
      <c r="B49" s="103"/>
      <c r="C49" s="104"/>
      <c r="D49" s="104"/>
      <c r="E49" s="104"/>
    </row>
    <row r="50" spans="1:5" s="97" customFormat="1" x14ac:dyDescent="0.3">
      <c r="A50" s="102"/>
      <c r="B50" s="103"/>
      <c r="C50" s="104"/>
      <c r="D50" s="104"/>
      <c r="E50" s="104"/>
    </row>
    <row r="51" spans="1:5" s="97" customFormat="1" ht="48" customHeight="1" x14ac:dyDescent="0.3">
      <c r="A51" s="102"/>
      <c r="B51" s="103"/>
      <c r="C51" s="104"/>
      <c r="D51" s="104"/>
      <c r="E51" s="104"/>
    </row>
    <row r="52" spans="1:5" s="97" customFormat="1" ht="49.5" customHeight="1" x14ac:dyDescent="0.3">
      <c r="A52" s="102"/>
      <c r="B52" s="103"/>
      <c r="C52" s="104"/>
      <c r="D52" s="104"/>
      <c r="E52" s="104"/>
    </row>
    <row r="53" spans="1:5" ht="47.25" customHeight="1" x14ac:dyDescent="0.3"/>
    <row r="54" spans="1:5" ht="35.25" customHeight="1" x14ac:dyDescent="0.3"/>
    <row r="55" spans="1:5" ht="32.25" customHeight="1" x14ac:dyDescent="0.3"/>
    <row r="56" spans="1:5" ht="26.25" customHeight="1" x14ac:dyDescent="0.3"/>
    <row r="57" spans="1:5" ht="63.75" customHeight="1" x14ac:dyDescent="0.3"/>
    <row r="62" spans="1:5" x14ac:dyDescent="0.3">
      <c r="A62" s="80"/>
    </row>
    <row r="63" spans="1:5" x14ac:dyDescent="0.3">
      <c r="A63" s="80"/>
    </row>
    <row r="64" spans="1:5" x14ac:dyDescent="0.3">
      <c r="A64" s="80"/>
    </row>
    <row r="65" spans="1:1" x14ac:dyDescent="0.3">
      <c r="A65" s="80"/>
    </row>
    <row r="66" spans="1:1" x14ac:dyDescent="0.3">
      <c r="A66" s="80"/>
    </row>
    <row r="67" spans="1:1" x14ac:dyDescent="0.3">
      <c r="A67" s="80"/>
    </row>
    <row r="68" spans="1:1" x14ac:dyDescent="0.3">
      <c r="A68" s="80"/>
    </row>
    <row r="69" spans="1:1" x14ac:dyDescent="0.3">
      <c r="A69" s="80"/>
    </row>
    <row r="70" spans="1:1" x14ac:dyDescent="0.3">
      <c r="A70" s="80"/>
    </row>
    <row r="71" spans="1:1" x14ac:dyDescent="0.3">
      <c r="A71" s="80"/>
    </row>
    <row r="72" spans="1:1" x14ac:dyDescent="0.3">
      <c r="A72" s="80"/>
    </row>
    <row r="73" spans="1:1" x14ac:dyDescent="0.3">
      <c r="A73" s="80"/>
    </row>
    <row r="74" spans="1:1" x14ac:dyDescent="0.3">
      <c r="A74" s="80"/>
    </row>
    <row r="75" spans="1:1" x14ac:dyDescent="0.3">
      <c r="A75" s="80"/>
    </row>
    <row r="76" spans="1:1" x14ac:dyDescent="0.3">
      <c r="A76" s="80"/>
    </row>
    <row r="77" spans="1:1" x14ac:dyDescent="0.3">
      <c r="A77" s="80"/>
    </row>
    <row r="78" spans="1:1" x14ac:dyDescent="0.3">
      <c r="A78" s="80"/>
    </row>
    <row r="79" spans="1:1" x14ac:dyDescent="0.3">
      <c r="A79" s="80"/>
    </row>
    <row r="80" spans="1:1" x14ac:dyDescent="0.3">
      <c r="A80" s="80"/>
    </row>
    <row r="81" spans="1:1" x14ac:dyDescent="0.3">
      <c r="A81" s="80"/>
    </row>
    <row r="82" spans="1:1" x14ac:dyDescent="0.3">
      <c r="A82" s="80"/>
    </row>
    <row r="83" spans="1:1" x14ac:dyDescent="0.3">
      <c r="A83" s="80"/>
    </row>
    <row r="84" spans="1:1" x14ac:dyDescent="0.3">
      <c r="A84" s="80"/>
    </row>
    <row r="85" spans="1:1" x14ac:dyDescent="0.3">
      <c r="A85" s="80"/>
    </row>
    <row r="86" spans="1:1" x14ac:dyDescent="0.3">
      <c r="A86" s="80"/>
    </row>
    <row r="87" spans="1:1" x14ac:dyDescent="0.3">
      <c r="A87" s="80"/>
    </row>
    <row r="88" spans="1:1" x14ac:dyDescent="0.3">
      <c r="A88" s="80"/>
    </row>
    <row r="89" spans="1:1" x14ac:dyDescent="0.3">
      <c r="A89" s="80"/>
    </row>
    <row r="90" spans="1:1" x14ac:dyDescent="0.3">
      <c r="A90" s="80"/>
    </row>
    <row r="91" spans="1:1" x14ac:dyDescent="0.3">
      <c r="A91" s="80"/>
    </row>
  </sheetData>
  <mergeCells count="17">
    <mergeCell ref="A34:F34"/>
    <mergeCell ref="B35:C35"/>
    <mergeCell ref="E35:F35"/>
    <mergeCell ref="A40:F40"/>
    <mergeCell ref="B41:F41"/>
    <mergeCell ref="A10:B10"/>
    <mergeCell ref="A11:B11"/>
    <mergeCell ref="A13:F13"/>
    <mergeCell ref="A15:A16"/>
    <mergeCell ref="B15:B16"/>
    <mergeCell ref="D15:E15"/>
    <mergeCell ref="A9:B9"/>
    <mergeCell ref="A3:F3"/>
    <mergeCell ref="A4:F4"/>
    <mergeCell ref="A6:B7"/>
    <mergeCell ref="D6:E6"/>
    <mergeCell ref="A8:B8"/>
  </mergeCells>
  <printOptions horizontalCentered="1"/>
  <pageMargins left="0.25" right="0.25" top="0.75" bottom="0.75" header="0.3" footer="0.3"/>
  <pageSetup paperSize="9" scale="47" firstPageNumber="24" fitToHeight="0" orientation="landscape" r:id="rId1"/>
  <rowBreaks count="1" manualBreakCount="1">
    <brk id="43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workbookViewId="0"/>
  </sheetViews>
  <sheetFormatPr defaultColWidth="9.109375" defaultRowHeight="18" x14ac:dyDescent="0.3"/>
  <cols>
    <col min="1" max="1" width="8.33203125" style="100" customWidth="1"/>
    <col min="2" max="2" width="76.88671875" style="80" customWidth="1"/>
    <col min="3" max="3" width="29" style="80" customWidth="1"/>
    <col min="4" max="4" width="25.88671875" style="80" customWidth="1"/>
    <col min="5" max="5" width="24.109375" style="80" customWidth="1"/>
    <col min="6" max="6" width="28.109375" style="80" customWidth="1"/>
    <col min="7" max="7" width="20.44140625" style="80" customWidth="1"/>
    <col min="8" max="8" width="9.109375" style="80"/>
    <col min="9" max="9" width="89.44140625" style="80" customWidth="1"/>
    <col min="10" max="16384" width="9.109375" style="80"/>
  </cols>
  <sheetData>
    <row r="1" spans="1:7" ht="17.25" customHeight="1" x14ac:dyDescent="0.3">
      <c r="A1" s="77"/>
      <c r="B1" s="78"/>
      <c r="C1" s="78"/>
      <c r="D1" s="78"/>
      <c r="E1" s="78"/>
      <c r="F1" s="79" t="s">
        <v>159</v>
      </c>
      <c r="G1" s="78"/>
    </row>
    <row r="2" spans="1:7" ht="8.4" customHeight="1" x14ac:dyDescent="0.25">
      <c r="A2" s="77"/>
      <c r="B2" s="78"/>
      <c r="C2" s="78"/>
      <c r="D2" s="78"/>
      <c r="E2" s="78"/>
      <c r="F2" s="78"/>
      <c r="G2" s="78"/>
    </row>
    <row r="3" spans="1:7" ht="21" customHeight="1" x14ac:dyDescent="0.3">
      <c r="A3" s="409" t="s">
        <v>336</v>
      </c>
      <c r="B3" s="409"/>
      <c r="C3" s="409"/>
      <c r="D3" s="409"/>
      <c r="E3" s="409"/>
      <c r="F3" s="409"/>
      <c r="G3" s="78"/>
    </row>
    <row r="4" spans="1:7" s="82" customFormat="1" ht="18.600000000000001" customHeight="1" x14ac:dyDescent="0.3">
      <c r="A4" s="410" t="s">
        <v>116</v>
      </c>
      <c r="B4" s="410"/>
      <c r="C4" s="410"/>
      <c r="D4" s="410"/>
      <c r="E4" s="410"/>
      <c r="F4" s="410"/>
      <c r="G4" s="81"/>
    </row>
    <row r="5" spans="1:7" ht="19.2" customHeight="1" x14ac:dyDescent="0.3">
      <c r="A5" s="83"/>
      <c r="B5" s="294"/>
      <c r="C5" s="294"/>
      <c r="D5" s="294"/>
      <c r="E5" s="294"/>
      <c r="F5" s="84" t="s">
        <v>145</v>
      </c>
      <c r="G5" s="78"/>
    </row>
    <row r="6" spans="1:7" ht="39" customHeight="1" x14ac:dyDescent="0.3">
      <c r="A6" s="408" t="s">
        <v>3</v>
      </c>
      <c r="B6" s="408"/>
      <c r="C6" s="295" t="s">
        <v>337</v>
      </c>
      <c r="D6" s="408" t="s">
        <v>338</v>
      </c>
      <c r="E6" s="408"/>
      <c r="F6" s="295" t="s">
        <v>339</v>
      </c>
      <c r="G6" s="78"/>
    </row>
    <row r="7" spans="1:7" ht="18" customHeight="1" x14ac:dyDescent="0.3">
      <c r="A7" s="408"/>
      <c r="B7" s="408"/>
      <c r="C7" s="85" t="s">
        <v>160</v>
      </c>
      <c r="D7" s="85" t="s">
        <v>9</v>
      </c>
      <c r="E7" s="295" t="s">
        <v>161</v>
      </c>
      <c r="F7" s="295" t="s">
        <v>9</v>
      </c>
      <c r="G7" s="78"/>
    </row>
    <row r="8" spans="1:7" ht="15" customHeight="1" x14ac:dyDescent="0.25">
      <c r="A8" s="411">
        <v>1</v>
      </c>
      <c r="B8" s="412"/>
      <c r="C8" s="85">
        <v>2</v>
      </c>
      <c r="D8" s="85">
        <v>3</v>
      </c>
      <c r="E8" s="295">
        <v>4</v>
      </c>
      <c r="F8" s="295">
        <v>5</v>
      </c>
      <c r="G8" s="78"/>
    </row>
    <row r="9" spans="1:7" ht="23.25" customHeight="1" x14ac:dyDescent="0.3">
      <c r="A9" s="403" t="s">
        <v>162</v>
      </c>
      <c r="B9" s="403"/>
      <c r="C9" s="85" t="s">
        <v>118</v>
      </c>
      <c r="D9" s="85">
        <f>'Бизнес-план 21 190117'!C7</f>
        <v>18018478</v>
      </c>
      <c r="E9" s="154" t="s">
        <v>118</v>
      </c>
      <c r="F9" s="85">
        <f>'Бизнес-план 22 190117'!C7</f>
        <v>6222896</v>
      </c>
      <c r="G9" s="78"/>
    </row>
    <row r="10" spans="1:7" ht="23.25" customHeight="1" x14ac:dyDescent="0.3">
      <c r="A10" s="403" t="s">
        <v>163</v>
      </c>
      <c r="B10" s="403"/>
      <c r="C10" s="85" t="s">
        <v>118</v>
      </c>
      <c r="D10" s="85">
        <f>'Бизнес-план 21 190117'!C8</f>
        <v>1261293</v>
      </c>
      <c r="E10" s="86" t="s">
        <v>118</v>
      </c>
      <c r="F10" s="85">
        <f>'Бизнес-план 22 190117'!C8</f>
        <v>435603</v>
      </c>
      <c r="G10" s="78"/>
    </row>
    <row r="11" spans="1:7" ht="23.25" customHeight="1" x14ac:dyDescent="0.3">
      <c r="A11" s="403" t="s">
        <v>164</v>
      </c>
      <c r="B11" s="403"/>
      <c r="C11" s="350" t="s">
        <v>118</v>
      </c>
      <c r="D11" s="350">
        <f>D10/D9</f>
        <v>7.0000000000000007E-2</v>
      </c>
      <c r="E11" s="295" t="s">
        <v>118</v>
      </c>
      <c r="F11" s="350">
        <f>F10/F9</f>
        <v>7.0000000000000007E-2</v>
      </c>
      <c r="G11" s="78"/>
    </row>
    <row r="12" spans="1:7" ht="7.2" customHeight="1" x14ac:dyDescent="0.25">
      <c r="A12" s="299"/>
      <c r="B12" s="299"/>
      <c r="C12" s="299"/>
      <c r="D12" s="299"/>
      <c r="E12" s="299"/>
      <c r="F12" s="299"/>
      <c r="G12" s="78"/>
    </row>
    <row r="13" spans="1:7" ht="15" customHeight="1" x14ac:dyDescent="0.3">
      <c r="A13" s="404" t="s">
        <v>165</v>
      </c>
      <c r="B13" s="404"/>
      <c r="C13" s="404"/>
      <c r="D13" s="404"/>
      <c r="E13" s="404"/>
      <c r="F13" s="404"/>
      <c r="G13" s="78"/>
    </row>
    <row r="14" spans="1:7" ht="10.5" customHeight="1" x14ac:dyDescent="0.3">
      <c r="A14" s="87"/>
      <c r="B14" s="88"/>
      <c r="C14" s="88"/>
      <c r="D14" s="88"/>
      <c r="E14" s="88"/>
      <c r="F14" s="89" t="s">
        <v>145</v>
      </c>
      <c r="G14" s="78"/>
    </row>
    <row r="15" spans="1:7" ht="41.25" customHeight="1" x14ac:dyDescent="0.3">
      <c r="A15" s="405" t="s">
        <v>166</v>
      </c>
      <c r="B15" s="406" t="s">
        <v>167</v>
      </c>
      <c r="C15" s="295" t="s">
        <v>250</v>
      </c>
      <c r="D15" s="408" t="s">
        <v>303</v>
      </c>
      <c r="E15" s="408"/>
      <c r="F15" s="295" t="s">
        <v>304</v>
      </c>
      <c r="G15" s="78"/>
    </row>
    <row r="16" spans="1:7" ht="17.25" customHeight="1" x14ac:dyDescent="0.3">
      <c r="A16" s="405"/>
      <c r="B16" s="407"/>
      <c r="C16" s="90" t="s">
        <v>160</v>
      </c>
      <c r="D16" s="90" t="s">
        <v>9</v>
      </c>
      <c r="E16" s="91" t="s">
        <v>161</v>
      </c>
      <c r="F16" s="91" t="s">
        <v>9</v>
      </c>
      <c r="G16" s="78"/>
    </row>
    <row r="17" spans="1:7" ht="16.5" customHeight="1" x14ac:dyDescent="0.3">
      <c r="A17" s="297" t="s">
        <v>168</v>
      </c>
      <c r="B17" s="298">
        <v>2</v>
      </c>
      <c r="C17" s="90">
        <v>3</v>
      </c>
      <c r="D17" s="90">
        <v>4</v>
      </c>
      <c r="E17" s="91">
        <v>5</v>
      </c>
      <c r="F17" s="91">
        <v>6</v>
      </c>
      <c r="G17" s="78"/>
    </row>
    <row r="18" spans="1:7" ht="41.4" x14ac:dyDescent="0.3">
      <c r="A18" s="297">
        <v>1</v>
      </c>
      <c r="B18" s="92" t="s">
        <v>169</v>
      </c>
      <c r="C18" s="85" t="str">
        <f>C10</f>
        <v>-</v>
      </c>
      <c r="D18" s="85">
        <f>D10</f>
        <v>1261293</v>
      </c>
      <c r="E18" s="155" t="s">
        <v>118</v>
      </c>
      <c r="F18" s="85">
        <f>F10</f>
        <v>435603</v>
      </c>
      <c r="G18" s="78"/>
    </row>
    <row r="19" spans="1:7" ht="48" customHeight="1" x14ac:dyDescent="0.3">
      <c r="A19" s="297">
        <v>2</v>
      </c>
      <c r="B19" s="92" t="s">
        <v>170</v>
      </c>
      <c r="C19" s="295" t="s">
        <v>118</v>
      </c>
      <c r="D19" s="295">
        <v>0</v>
      </c>
      <c r="E19" s="295" t="s">
        <v>118</v>
      </c>
      <c r="F19" s="295">
        <v>0</v>
      </c>
      <c r="G19" s="78"/>
    </row>
    <row r="20" spans="1:7" ht="52.95" customHeight="1" x14ac:dyDescent="0.3">
      <c r="A20" s="297">
        <v>3</v>
      </c>
      <c r="B20" s="92" t="s">
        <v>171</v>
      </c>
      <c r="C20" s="295" t="s">
        <v>118</v>
      </c>
      <c r="D20" s="295">
        <v>0</v>
      </c>
      <c r="E20" s="295" t="s">
        <v>118</v>
      </c>
      <c r="F20" s="295">
        <v>0</v>
      </c>
      <c r="G20" s="78"/>
    </row>
    <row r="21" spans="1:7" ht="27.6" x14ac:dyDescent="0.3">
      <c r="A21" s="297">
        <v>4</v>
      </c>
      <c r="B21" s="92" t="s">
        <v>172</v>
      </c>
      <c r="C21" s="295" t="s">
        <v>118</v>
      </c>
      <c r="D21" s="295">
        <v>0</v>
      </c>
      <c r="E21" s="295" t="s">
        <v>118</v>
      </c>
      <c r="F21" s="295">
        <v>0</v>
      </c>
      <c r="G21" s="78"/>
    </row>
    <row r="22" spans="1:7" ht="41.4" x14ac:dyDescent="0.3">
      <c r="A22" s="297">
        <v>5</v>
      </c>
      <c r="B22" s="92" t="s">
        <v>173</v>
      </c>
      <c r="C22" s="295" t="s">
        <v>118</v>
      </c>
      <c r="D22" s="295">
        <v>0</v>
      </c>
      <c r="E22" s="295" t="s">
        <v>118</v>
      </c>
      <c r="F22" s="295">
        <v>0</v>
      </c>
      <c r="G22" s="78"/>
    </row>
    <row r="23" spans="1:7" ht="27.6" x14ac:dyDescent="0.3">
      <c r="A23" s="297">
        <v>6</v>
      </c>
      <c r="B23" s="92" t="s">
        <v>174</v>
      </c>
      <c r="C23" s="295" t="s">
        <v>118</v>
      </c>
      <c r="D23" s="295">
        <v>0</v>
      </c>
      <c r="E23" s="295" t="s">
        <v>118</v>
      </c>
      <c r="F23" s="295">
        <v>0</v>
      </c>
      <c r="G23" s="78"/>
    </row>
    <row r="24" spans="1:7" ht="35.25" customHeight="1" x14ac:dyDescent="0.3">
      <c r="A24" s="297" t="s">
        <v>175</v>
      </c>
      <c r="B24" s="92" t="s">
        <v>176</v>
      </c>
      <c r="C24" s="295" t="s">
        <v>118</v>
      </c>
      <c r="D24" s="295">
        <v>0</v>
      </c>
      <c r="E24" s="295" t="s">
        <v>118</v>
      </c>
      <c r="F24" s="295">
        <v>0</v>
      </c>
      <c r="G24" s="78"/>
    </row>
    <row r="25" spans="1:7" ht="36.75" customHeight="1" x14ac:dyDescent="0.3">
      <c r="A25" s="297" t="s">
        <v>177</v>
      </c>
      <c r="B25" s="92" t="s">
        <v>178</v>
      </c>
      <c r="C25" s="295" t="s">
        <v>118</v>
      </c>
      <c r="D25" s="295">
        <v>0</v>
      </c>
      <c r="E25" s="295" t="s">
        <v>118</v>
      </c>
      <c r="F25" s="295">
        <v>0</v>
      </c>
      <c r="G25" s="78"/>
    </row>
    <row r="26" spans="1:7" ht="33" customHeight="1" x14ac:dyDescent="0.3">
      <c r="A26" s="297" t="s">
        <v>179</v>
      </c>
      <c r="B26" s="92" t="s">
        <v>180</v>
      </c>
      <c r="C26" s="295" t="s">
        <v>118</v>
      </c>
      <c r="D26" s="295">
        <v>0</v>
      </c>
      <c r="E26" s="295" t="s">
        <v>118</v>
      </c>
      <c r="F26" s="295">
        <v>0</v>
      </c>
      <c r="G26" s="78"/>
    </row>
    <row r="27" spans="1:7" ht="19.5" customHeight="1" x14ac:dyDescent="0.3">
      <c r="A27" s="297" t="s">
        <v>181</v>
      </c>
      <c r="B27" s="92" t="s">
        <v>182</v>
      </c>
      <c r="C27" s="295" t="s">
        <v>118</v>
      </c>
      <c r="D27" s="295">
        <v>0</v>
      </c>
      <c r="E27" s="295" t="s">
        <v>118</v>
      </c>
      <c r="F27" s="295">
        <v>0</v>
      </c>
      <c r="G27" s="78"/>
    </row>
    <row r="28" spans="1:7" ht="35.25" customHeight="1" x14ac:dyDescent="0.3">
      <c r="A28" s="297" t="s">
        <v>183</v>
      </c>
      <c r="B28" s="92" t="s">
        <v>184</v>
      </c>
      <c r="C28" s="295" t="s">
        <v>118</v>
      </c>
      <c r="D28" s="295">
        <v>0</v>
      </c>
      <c r="E28" s="295" t="s">
        <v>118</v>
      </c>
      <c r="F28" s="295">
        <v>0</v>
      </c>
      <c r="G28" s="78"/>
    </row>
    <row r="29" spans="1:7" ht="32.25" customHeight="1" x14ac:dyDescent="0.3">
      <c r="A29" s="297" t="s">
        <v>185</v>
      </c>
      <c r="B29" s="92" t="s">
        <v>186</v>
      </c>
      <c r="C29" s="295" t="s">
        <v>118</v>
      </c>
      <c r="D29" s="295">
        <v>0</v>
      </c>
      <c r="E29" s="295" t="s">
        <v>118</v>
      </c>
      <c r="F29" s="295">
        <v>0</v>
      </c>
      <c r="G29" s="78"/>
    </row>
    <row r="30" spans="1:7" ht="30" customHeight="1" x14ac:dyDescent="0.3">
      <c r="A30" s="297" t="s">
        <v>187</v>
      </c>
      <c r="B30" s="92" t="s">
        <v>188</v>
      </c>
      <c r="C30" s="295" t="s">
        <v>118</v>
      </c>
      <c r="D30" s="295">
        <v>0</v>
      </c>
      <c r="E30" s="295" t="s">
        <v>118</v>
      </c>
      <c r="F30" s="295">
        <v>0</v>
      </c>
      <c r="G30" s="78"/>
    </row>
    <row r="31" spans="1:7" ht="30" customHeight="1" x14ac:dyDescent="0.3">
      <c r="A31" s="297" t="s">
        <v>189</v>
      </c>
      <c r="B31" s="92" t="s">
        <v>246</v>
      </c>
      <c r="C31" s="295" t="s">
        <v>118</v>
      </c>
      <c r="D31" s="295">
        <v>0</v>
      </c>
      <c r="E31" s="155" t="s">
        <v>118</v>
      </c>
      <c r="F31" s="295">
        <v>0</v>
      </c>
      <c r="G31" s="78"/>
    </row>
    <row r="32" spans="1:7" ht="19.5" customHeight="1" x14ac:dyDescent="0.3">
      <c r="A32" s="297"/>
      <c r="B32" s="93" t="s">
        <v>153</v>
      </c>
      <c r="C32" s="85" t="s">
        <v>118</v>
      </c>
      <c r="D32" s="85">
        <f>SUM(D18:D31)</f>
        <v>1261293</v>
      </c>
      <c r="E32" s="155" t="s">
        <v>118</v>
      </c>
      <c r="F32" s="85">
        <f>SUM(F18:F31)</f>
        <v>435603</v>
      </c>
      <c r="G32" s="78"/>
    </row>
    <row r="33" spans="1:12" ht="6" customHeight="1" x14ac:dyDescent="0.3">
      <c r="A33" s="94"/>
      <c r="B33" s="95"/>
      <c r="C33" s="296"/>
      <c r="D33" s="296"/>
      <c r="E33" s="96"/>
      <c r="F33" s="299"/>
      <c r="G33" s="78"/>
    </row>
    <row r="34" spans="1:12" ht="9.6" customHeight="1" x14ac:dyDescent="0.3">
      <c r="A34" s="402"/>
      <c r="B34" s="402"/>
      <c r="C34" s="402"/>
      <c r="D34" s="402"/>
      <c r="E34" s="402"/>
      <c r="F34" s="402"/>
      <c r="G34" s="78"/>
    </row>
    <row r="35" spans="1:12" ht="52.2" customHeight="1" x14ac:dyDescent="0.3">
      <c r="A35" s="76"/>
      <c r="B35" s="413" t="s">
        <v>367</v>
      </c>
      <c r="C35" s="413"/>
      <c r="E35" s="413" t="s">
        <v>366</v>
      </c>
      <c r="F35" s="413"/>
    </row>
    <row r="36" spans="1:12" ht="45" customHeight="1" x14ac:dyDescent="0.35">
      <c r="A36" s="156"/>
      <c r="B36" s="192" t="s">
        <v>370</v>
      </c>
      <c r="E36" s="200" t="s">
        <v>245</v>
      </c>
      <c r="F36" s="192" t="s">
        <v>368</v>
      </c>
    </row>
    <row r="37" spans="1:12" ht="18.75" customHeight="1" x14ac:dyDescent="0.3">
      <c r="A37" s="156"/>
      <c r="B37" s="194" t="s">
        <v>231</v>
      </c>
      <c r="C37" s="195"/>
      <c r="E37" s="194" t="s">
        <v>231</v>
      </c>
      <c r="F37" s="195"/>
    </row>
    <row r="38" spans="1:12" ht="18.75" customHeight="1" x14ac:dyDescent="0.35">
      <c r="A38" s="76"/>
      <c r="B38" s="197" t="s">
        <v>232</v>
      </c>
      <c r="C38" s="197"/>
      <c r="E38" s="197" t="s">
        <v>232</v>
      </c>
      <c r="F38" s="197"/>
      <c r="G38" s="97"/>
      <c r="H38" s="97"/>
      <c r="I38" s="97"/>
      <c r="J38" s="97"/>
      <c r="K38" s="97"/>
      <c r="L38" s="97"/>
    </row>
    <row r="39" spans="1:12" ht="8.4" customHeight="1" x14ac:dyDescent="0.3">
      <c r="A39" s="98"/>
      <c r="C39" s="275"/>
      <c r="D39" s="300"/>
      <c r="E39" s="300"/>
      <c r="F39" s="275"/>
      <c r="G39" s="99"/>
      <c r="H39" s="99"/>
      <c r="I39" s="99"/>
      <c r="J39" s="99"/>
      <c r="K39" s="99"/>
      <c r="L39" s="99"/>
    </row>
    <row r="40" spans="1:12" ht="15.75" customHeight="1" x14ac:dyDescent="0.3">
      <c r="A40" s="399" t="s">
        <v>115</v>
      </c>
      <c r="B40" s="399"/>
      <c r="C40" s="399"/>
      <c r="D40" s="399"/>
      <c r="E40" s="399"/>
      <c r="F40" s="399"/>
    </row>
    <row r="41" spans="1:12" ht="30" customHeight="1" x14ac:dyDescent="0.3">
      <c r="B41" s="400" t="s">
        <v>190</v>
      </c>
      <c r="C41" s="400"/>
      <c r="D41" s="400"/>
      <c r="E41" s="400"/>
      <c r="F41" s="400"/>
    </row>
    <row r="42" spans="1:12" x14ac:dyDescent="0.3">
      <c r="A42" s="98"/>
      <c r="B42" s="98"/>
      <c r="C42" s="101"/>
      <c r="F42" s="98"/>
    </row>
    <row r="43" spans="1:12" x14ac:dyDescent="0.3">
      <c r="A43" s="98"/>
      <c r="B43" s="98"/>
      <c r="C43" s="2"/>
      <c r="F43" s="98"/>
    </row>
    <row r="44" spans="1:12" x14ac:dyDescent="0.3">
      <c r="A44" s="77"/>
      <c r="B44" s="78"/>
      <c r="C44" s="78"/>
      <c r="D44" s="78"/>
      <c r="E44" s="78"/>
    </row>
    <row r="46" spans="1:12" s="97" customFormat="1" x14ac:dyDescent="0.3">
      <c r="A46" s="102"/>
      <c r="B46" s="103"/>
      <c r="C46" s="104"/>
      <c r="D46" s="104"/>
      <c r="E46" s="104"/>
    </row>
    <row r="47" spans="1:12" s="97" customFormat="1" x14ac:dyDescent="0.3">
      <c r="A47" s="102"/>
      <c r="B47" s="103"/>
      <c r="C47" s="104"/>
      <c r="D47" s="104"/>
      <c r="E47" s="104"/>
    </row>
    <row r="48" spans="1:12" s="97" customFormat="1" x14ac:dyDescent="0.3">
      <c r="A48" s="102"/>
      <c r="B48" s="103"/>
      <c r="C48" s="104"/>
      <c r="D48" s="104"/>
      <c r="E48" s="104"/>
    </row>
    <row r="49" spans="1:5" s="97" customFormat="1" x14ac:dyDescent="0.3">
      <c r="A49" s="102"/>
      <c r="B49" s="103"/>
      <c r="C49" s="104"/>
      <c r="D49" s="104"/>
      <c r="E49" s="104"/>
    </row>
    <row r="50" spans="1:5" s="97" customFormat="1" x14ac:dyDescent="0.3">
      <c r="A50" s="102"/>
      <c r="B50" s="103"/>
      <c r="C50" s="104"/>
      <c r="D50" s="104"/>
      <c r="E50" s="104"/>
    </row>
    <row r="51" spans="1:5" s="97" customFormat="1" ht="48" customHeight="1" x14ac:dyDescent="0.3">
      <c r="A51" s="102"/>
      <c r="B51" s="103"/>
      <c r="C51" s="104"/>
      <c r="D51" s="104"/>
      <c r="E51" s="104"/>
    </row>
    <row r="52" spans="1:5" s="97" customFormat="1" ht="49.5" customHeight="1" x14ac:dyDescent="0.3">
      <c r="A52" s="102"/>
      <c r="B52" s="103"/>
      <c r="C52" s="104"/>
      <c r="D52" s="104"/>
      <c r="E52" s="104"/>
    </row>
    <row r="53" spans="1:5" ht="47.25" customHeight="1" x14ac:dyDescent="0.3"/>
    <row r="54" spans="1:5" ht="35.25" customHeight="1" x14ac:dyDescent="0.3"/>
    <row r="55" spans="1:5" ht="32.25" customHeight="1" x14ac:dyDescent="0.3"/>
    <row r="56" spans="1:5" ht="26.25" customHeight="1" x14ac:dyDescent="0.3"/>
    <row r="57" spans="1:5" ht="63.75" customHeight="1" x14ac:dyDescent="0.3"/>
    <row r="62" spans="1:5" x14ac:dyDescent="0.3">
      <c r="A62" s="80"/>
    </row>
    <row r="63" spans="1:5" x14ac:dyDescent="0.3">
      <c r="A63" s="80"/>
    </row>
    <row r="64" spans="1:5" x14ac:dyDescent="0.3">
      <c r="A64" s="80"/>
    </row>
    <row r="65" spans="1:1" x14ac:dyDescent="0.3">
      <c r="A65" s="80"/>
    </row>
    <row r="66" spans="1:1" x14ac:dyDescent="0.3">
      <c r="A66" s="80"/>
    </row>
    <row r="67" spans="1:1" x14ac:dyDescent="0.3">
      <c r="A67" s="80"/>
    </row>
    <row r="68" spans="1:1" x14ac:dyDescent="0.3">
      <c r="A68" s="80"/>
    </row>
    <row r="69" spans="1:1" x14ac:dyDescent="0.3">
      <c r="A69" s="80"/>
    </row>
    <row r="70" spans="1:1" x14ac:dyDescent="0.3">
      <c r="A70" s="80"/>
    </row>
    <row r="71" spans="1:1" x14ac:dyDescent="0.3">
      <c r="A71" s="80"/>
    </row>
    <row r="72" spans="1:1" x14ac:dyDescent="0.3">
      <c r="A72" s="80"/>
    </row>
    <row r="73" spans="1:1" x14ac:dyDescent="0.3">
      <c r="A73" s="80"/>
    </row>
    <row r="74" spans="1:1" x14ac:dyDescent="0.3">
      <c r="A74" s="80"/>
    </row>
    <row r="75" spans="1:1" x14ac:dyDescent="0.3">
      <c r="A75" s="80"/>
    </row>
    <row r="76" spans="1:1" x14ac:dyDescent="0.3">
      <c r="A76" s="80"/>
    </row>
    <row r="77" spans="1:1" x14ac:dyDescent="0.3">
      <c r="A77" s="80"/>
    </row>
    <row r="78" spans="1:1" x14ac:dyDescent="0.3">
      <c r="A78" s="80"/>
    </row>
    <row r="79" spans="1:1" x14ac:dyDescent="0.3">
      <c r="A79" s="80"/>
    </row>
    <row r="80" spans="1:1" x14ac:dyDescent="0.3">
      <c r="A80" s="80"/>
    </row>
    <row r="81" spans="1:1" x14ac:dyDescent="0.3">
      <c r="A81" s="80"/>
    </row>
    <row r="82" spans="1:1" x14ac:dyDescent="0.3">
      <c r="A82" s="80"/>
    </row>
    <row r="83" spans="1:1" x14ac:dyDescent="0.3">
      <c r="A83" s="80"/>
    </row>
    <row r="84" spans="1:1" x14ac:dyDescent="0.3">
      <c r="A84" s="80"/>
    </row>
    <row r="85" spans="1:1" x14ac:dyDescent="0.3">
      <c r="A85" s="80"/>
    </row>
    <row r="86" spans="1:1" x14ac:dyDescent="0.3">
      <c r="A86" s="80"/>
    </row>
    <row r="87" spans="1:1" x14ac:dyDescent="0.3">
      <c r="A87" s="80"/>
    </row>
    <row r="88" spans="1:1" x14ac:dyDescent="0.3">
      <c r="A88" s="80"/>
    </row>
    <row r="89" spans="1:1" x14ac:dyDescent="0.3">
      <c r="A89" s="80"/>
    </row>
    <row r="90" spans="1:1" x14ac:dyDescent="0.3">
      <c r="A90" s="80"/>
    </row>
    <row r="91" spans="1:1" x14ac:dyDescent="0.3">
      <c r="A91" s="80"/>
    </row>
  </sheetData>
  <mergeCells count="17">
    <mergeCell ref="A34:F34"/>
    <mergeCell ref="B35:C35"/>
    <mergeCell ref="E35:F35"/>
    <mergeCell ref="A40:F40"/>
    <mergeCell ref="B41:F41"/>
    <mergeCell ref="A10:B10"/>
    <mergeCell ref="A11:B11"/>
    <mergeCell ref="A13:F13"/>
    <mergeCell ref="A15:A16"/>
    <mergeCell ref="B15:B16"/>
    <mergeCell ref="D15:E15"/>
    <mergeCell ref="A9:B9"/>
    <mergeCell ref="A3:F3"/>
    <mergeCell ref="A4:F4"/>
    <mergeCell ref="A6:B7"/>
    <mergeCell ref="D6:E6"/>
    <mergeCell ref="A8:B8"/>
  </mergeCells>
  <printOptions horizontalCentered="1"/>
  <pageMargins left="0.25" right="0.25" top="0.75" bottom="0.75" header="0.3" footer="0.3"/>
  <pageSetup paperSize="9" scale="46" firstPageNumber="24" fitToHeight="0" orientation="landscape" r:id="rId1"/>
  <rowBreaks count="1" manualBreakCount="1">
    <brk id="43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5"/>
  <sheetViews>
    <sheetView tabSelected="1" topLeftCell="C4" zoomScaleNormal="100" workbookViewId="0">
      <selection activeCell="U14" sqref="U14"/>
    </sheetView>
  </sheetViews>
  <sheetFormatPr defaultColWidth="9.109375" defaultRowHeight="14.4" x14ac:dyDescent="0.3"/>
  <cols>
    <col min="1" max="1" width="4.6640625" style="59" customWidth="1"/>
    <col min="2" max="2" width="39.44140625" style="59" customWidth="1"/>
    <col min="3" max="3" width="12.5546875" style="59" customWidth="1"/>
    <col min="4" max="4" width="17.33203125" style="59" customWidth="1"/>
    <col min="5" max="5" width="9.88671875" style="59" customWidth="1"/>
    <col min="6" max="6" width="17" style="59" customWidth="1"/>
    <col min="7" max="7" width="10" style="59" hidden="1" customWidth="1"/>
    <col min="8" max="8" width="12.33203125" style="59" hidden="1" customWidth="1"/>
    <col min="9" max="9" width="19.44140625" style="59" hidden="1" customWidth="1"/>
    <col min="10" max="10" width="10.109375" style="59" customWidth="1"/>
    <col min="11" max="11" width="13.109375" style="59" bestFit="1" customWidth="1"/>
    <col min="12" max="12" width="17.44140625" style="59" customWidth="1"/>
    <col min="13" max="13" width="10.109375" style="59" customWidth="1"/>
    <col min="14" max="14" width="12.44140625" style="59" bestFit="1" customWidth="1"/>
    <col min="15" max="15" width="17.33203125" style="59" customWidth="1"/>
    <col min="16" max="16" width="10.109375" style="59" customWidth="1"/>
    <col min="17" max="17" width="12.88671875" style="59" bestFit="1" customWidth="1"/>
    <col min="18" max="18" width="17.33203125" style="59" customWidth="1"/>
    <col min="19" max="19" width="10.109375" style="59" customWidth="1"/>
    <col min="20" max="20" width="15.6640625" style="59" bestFit="1" customWidth="1"/>
    <col min="21" max="21" width="18" style="59" customWidth="1"/>
    <col min="22" max="22" width="10.109375" style="59" hidden="1" customWidth="1"/>
    <col min="23" max="23" width="16.44140625" style="59" hidden="1" customWidth="1"/>
    <col min="24" max="24" width="21.44140625" style="59" hidden="1" customWidth="1"/>
    <col min="25" max="25" width="9.109375" style="60"/>
    <col min="26" max="26" width="13.5546875" style="60" bestFit="1" customWidth="1"/>
    <col min="27" max="16384" width="9.109375" style="60"/>
  </cols>
  <sheetData>
    <row r="1" spans="1:29" ht="15.6" x14ac:dyDescent="0.3">
      <c r="K1" s="243"/>
      <c r="L1" s="139"/>
      <c r="N1" s="302"/>
      <c r="O1" s="139"/>
      <c r="Q1" s="302"/>
      <c r="R1" s="139"/>
      <c r="T1" s="243"/>
      <c r="U1" s="139" t="s">
        <v>222</v>
      </c>
      <c r="W1" s="243"/>
    </row>
    <row r="2" spans="1:29" ht="9" customHeight="1" x14ac:dyDescent="0.25">
      <c r="K2" s="243"/>
      <c r="L2" s="243"/>
      <c r="N2" s="302"/>
      <c r="O2" s="302"/>
      <c r="Q2" s="302"/>
      <c r="R2" s="302"/>
      <c r="T2" s="243"/>
      <c r="U2" s="243"/>
      <c r="W2" s="243"/>
      <c r="X2" s="243"/>
    </row>
    <row r="3" spans="1:29" ht="18.75" customHeight="1" x14ac:dyDescent="0.3">
      <c r="A3" s="424" t="s">
        <v>227</v>
      </c>
      <c r="B3" s="424"/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  <c r="R3" s="424"/>
      <c r="S3" s="424"/>
      <c r="T3" s="424"/>
      <c r="U3" s="424"/>
      <c r="V3" s="424"/>
      <c r="W3" s="424"/>
      <c r="X3" s="424"/>
    </row>
    <row r="4" spans="1:29" x14ac:dyDescent="0.3">
      <c r="A4" s="425" t="s">
        <v>340</v>
      </c>
      <c r="B4" s="425"/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  <c r="O4" s="425"/>
      <c r="P4" s="425"/>
      <c r="Q4" s="425"/>
      <c r="R4" s="425"/>
      <c r="S4" s="425"/>
      <c r="T4" s="425"/>
      <c r="U4" s="425"/>
      <c r="V4" s="425"/>
      <c r="W4" s="425"/>
      <c r="X4" s="425"/>
    </row>
    <row r="5" spans="1:29" ht="11.25" customHeight="1" x14ac:dyDescent="0.25">
      <c r="A5" s="62"/>
      <c r="B5" s="62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</row>
    <row r="6" spans="1:29" ht="14.25" customHeight="1" x14ac:dyDescent="0.3">
      <c r="A6" s="62"/>
      <c r="B6" s="62"/>
      <c r="C6" s="62"/>
      <c r="D6" s="62"/>
      <c r="E6" s="62"/>
      <c r="F6" s="62"/>
      <c r="G6" s="62"/>
      <c r="H6" s="62"/>
      <c r="I6" s="62"/>
      <c r="J6" s="62"/>
      <c r="L6" s="140"/>
      <c r="M6" s="62"/>
      <c r="O6" s="140"/>
      <c r="P6" s="62"/>
      <c r="R6" s="140"/>
      <c r="S6" s="62"/>
      <c r="U6" s="140" t="s">
        <v>145</v>
      </c>
      <c r="V6" s="62"/>
    </row>
    <row r="7" spans="1:29" ht="29.25" customHeight="1" x14ac:dyDescent="0.3">
      <c r="A7" s="426" t="s">
        <v>146</v>
      </c>
      <c r="B7" s="429" t="s">
        <v>229</v>
      </c>
      <c r="C7" s="432" t="s">
        <v>342</v>
      </c>
      <c r="D7" s="433"/>
      <c r="E7" s="433"/>
      <c r="F7" s="434"/>
      <c r="G7" s="420" t="s">
        <v>230</v>
      </c>
      <c r="H7" s="423" t="s">
        <v>240</v>
      </c>
      <c r="I7" s="423"/>
      <c r="J7" s="420" t="s">
        <v>230</v>
      </c>
      <c r="K7" s="423" t="s">
        <v>302</v>
      </c>
      <c r="L7" s="423"/>
      <c r="M7" s="420" t="s">
        <v>230</v>
      </c>
      <c r="N7" s="423" t="s">
        <v>362</v>
      </c>
      <c r="O7" s="423"/>
      <c r="P7" s="420" t="s">
        <v>230</v>
      </c>
      <c r="Q7" s="423" t="s">
        <v>363</v>
      </c>
      <c r="R7" s="423"/>
      <c r="S7" s="420" t="s">
        <v>230</v>
      </c>
      <c r="T7" s="423" t="s">
        <v>364</v>
      </c>
      <c r="U7" s="423"/>
      <c r="V7" s="420" t="s">
        <v>230</v>
      </c>
      <c r="W7" s="423" t="s">
        <v>241</v>
      </c>
      <c r="X7" s="423"/>
    </row>
    <row r="8" spans="1:29" ht="33" customHeight="1" x14ac:dyDescent="0.3">
      <c r="A8" s="427"/>
      <c r="B8" s="430"/>
      <c r="C8" s="415" t="s">
        <v>147</v>
      </c>
      <c r="D8" s="416"/>
      <c r="E8" s="415" t="s">
        <v>148</v>
      </c>
      <c r="F8" s="416"/>
      <c r="G8" s="421"/>
      <c r="H8" s="417" t="s">
        <v>149</v>
      </c>
      <c r="I8" s="417"/>
      <c r="J8" s="421"/>
      <c r="K8" s="417" t="s">
        <v>149</v>
      </c>
      <c r="L8" s="417"/>
      <c r="M8" s="421"/>
      <c r="N8" s="417" t="s">
        <v>149</v>
      </c>
      <c r="O8" s="417"/>
      <c r="P8" s="421"/>
      <c r="Q8" s="417" t="s">
        <v>149</v>
      </c>
      <c r="R8" s="417"/>
      <c r="S8" s="421"/>
      <c r="T8" s="417" t="s">
        <v>149</v>
      </c>
      <c r="U8" s="417"/>
      <c r="V8" s="421"/>
      <c r="W8" s="417" t="s">
        <v>149</v>
      </c>
      <c r="X8" s="417"/>
    </row>
    <row r="9" spans="1:29" ht="53.25" customHeight="1" x14ac:dyDescent="0.3">
      <c r="A9" s="428"/>
      <c r="B9" s="431"/>
      <c r="C9" s="245" t="s">
        <v>150</v>
      </c>
      <c r="D9" s="244" t="s">
        <v>191</v>
      </c>
      <c r="E9" s="245" t="s">
        <v>150</v>
      </c>
      <c r="F9" s="244" t="s">
        <v>191</v>
      </c>
      <c r="G9" s="422"/>
      <c r="H9" s="245" t="s">
        <v>150</v>
      </c>
      <c r="I9" s="244" t="s">
        <v>191</v>
      </c>
      <c r="J9" s="422"/>
      <c r="K9" s="245" t="s">
        <v>150</v>
      </c>
      <c r="L9" s="244" t="s">
        <v>191</v>
      </c>
      <c r="M9" s="422"/>
      <c r="N9" s="303" t="s">
        <v>150</v>
      </c>
      <c r="O9" s="301" t="s">
        <v>191</v>
      </c>
      <c r="P9" s="422"/>
      <c r="Q9" s="303" t="s">
        <v>150</v>
      </c>
      <c r="R9" s="301" t="s">
        <v>191</v>
      </c>
      <c r="S9" s="422"/>
      <c r="T9" s="245" t="s">
        <v>150</v>
      </c>
      <c r="U9" s="244" t="s">
        <v>191</v>
      </c>
      <c r="V9" s="422"/>
      <c r="W9" s="245" t="s">
        <v>150</v>
      </c>
      <c r="X9" s="244" t="s">
        <v>191</v>
      </c>
    </row>
    <row r="10" spans="1:29" ht="15" x14ac:dyDescent="0.25">
      <c r="A10" s="64">
        <v>1</v>
      </c>
      <c r="B10" s="64">
        <v>2</v>
      </c>
      <c r="C10" s="64">
        <v>3</v>
      </c>
      <c r="D10" s="64">
        <v>4</v>
      </c>
      <c r="E10" s="64">
        <v>5</v>
      </c>
      <c r="F10" s="64">
        <v>6</v>
      </c>
      <c r="G10" s="64">
        <v>7</v>
      </c>
      <c r="H10" s="64">
        <v>8</v>
      </c>
      <c r="I10" s="64">
        <v>9</v>
      </c>
      <c r="J10" s="64">
        <v>7</v>
      </c>
      <c r="K10" s="64">
        <v>8</v>
      </c>
      <c r="L10" s="64">
        <v>9</v>
      </c>
      <c r="M10" s="64">
        <v>10</v>
      </c>
      <c r="N10" s="64">
        <v>11</v>
      </c>
      <c r="O10" s="64">
        <v>12</v>
      </c>
      <c r="P10" s="64">
        <v>13</v>
      </c>
      <c r="Q10" s="64">
        <v>14</v>
      </c>
      <c r="R10" s="64">
        <v>15</v>
      </c>
      <c r="S10" s="64">
        <v>16</v>
      </c>
      <c r="T10" s="64">
        <v>17</v>
      </c>
      <c r="U10" s="64">
        <v>18</v>
      </c>
      <c r="V10" s="64">
        <v>10</v>
      </c>
      <c r="W10" s="64">
        <v>11</v>
      </c>
      <c r="X10" s="64">
        <v>12</v>
      </c>
    </row>
    <row r="11" spans="1:29" ht="42.75" customHeight="1" x14ac:dyDescent="0.3">
      <c r="A11" s="245">
        <v>1</v>
      </c>
      <c r="B11" s="65" t="s">
        <v>192</v>
      </c>
      <c r="C11" s="66">
        <f>93594</f>
        <v>93594</v>
      </c>
      <c r="D11" s="66">
        <f>C11/$C$15*'Бизнес-план 18 190117'!$C$12</f>
        <v>64416</v>
      </c>
      <c r="E11" s="66" t="s">
        <v>118</v>
      </c>
      <c r="F11" s="66" t="s">
        <v>118</v>
      </c>
      <c r="G11" s="105">
        <v>1.21</v>
      </c>
      <c r="H11" s="66" t="e">
        <f>E11*G11</f>
        <v>#VALUE!</v>
      </c>
      <c r="I11" s="66" t="e">
        <f>H11*I16/H16</f>
        <v>#VALUE!</v>
      </c>
      <c r="J11" s="105" t="s">
        <v>118</v>
      </c>
      <c r="K11" s="66">
        <f>136184+29270</f>
        <v>165454</v>
      </c>
      <c r="L11" s="66">
        <f>K11*L$16/K$16</f>
        <v>131486</v>
      </c>
      <c r="M11" s="105" t="s">
        <v>118</v>
      </c>
      <c r="N11" s="66">
        <f>K11*0.9</f>
        <v>148909</v>
      </c>
      <c r="O11" s="66">
        <f>N11*O$16/N$16</f>
        <v>117217</v>
      </c>
      <c r="P11" s="105" t="s">
        <v>118</v>
      </c>
      <c r="Q11" s="66">
        <f t="shared" ref="Q11:R13" si="0">Q$16/N$16*N11</f>
        <v>145593</v>
      </c>
      <c r="R11" s="66">
        <f t="shared" si="0"/>
        <v>112138</v>
      </c>
      <c r="S11" s="105" t="s">
        <v>118</v>
      </c>
      <c r="T11" s="66">
        <f>T$16/Q$16*Q11</f>
        <v>74043</v>
      </c>
      <c r="U11" s="66">
        <f>T11*U16/T16</f>
        <v>38728</v>
      </c>
      <c r="V11" s="105">
        <v>1.64</v>
      </c>
      <c r="W11" s="66" t="e">
        <f>H11*V11</f>
        <v>#VALUE!</v>
      </c>
      <c r="X11" s="66" t="e">
        <f>W11*X16/W16</f>
        <v>#VALUE!</v>
      </c>
    </row>
    <row r="12" spans="1:29" ht="42.75" customHeight="1" x14ac:dyDescent="0.3">
      <c r="A12" s="245">
        <v>2</v>
      </c>
      <c r="B12" s="65" t="s">
        <v>220</v>
      </c>
      <c r="C12" s="66">
        <v>0</v>
      </c>
      <c r="D12" s="66">
        <f>C12*D$16/C$16</f>
        <v>0</v>
      </c>
      <c r="E12" s="66" t="s">
        <v>118</v>
      </c>
      <c r="F12" s="66" t="s">
        <v>118</v>
      </c>
      <c r="G12" s="105" t="s">
        <v>118</v>
      </c>
      <c r="H12" s="66">
        <f>45000*5*1.05*1.05*1.05</f>
        <v>260466</v>
      </c>
      <c r="I12" s="66">
        <f>H12*I16/H16</f>
        <v>185453</v>
      </c>
      <c r="J12" s="67" t="s">
        <v>118</v>
      </c>
      <c r="K12" s="66">
        <f>997585/1.5</f>
        <v>665057</v>
      </c>
      <c r="L12" s="66">
        <f>K12*L$16/K$16</f>
        <v>528522</v>
      </c>
      <c r="M12" s="67" t="s">
        <v>118</v>
      </c>
      <c r="N12" s="66">
        <f>K12</f>
        <v>665057</v>
      </c>
      <c r="O12" s="66">
        <f>N12*O$16/N$16</f>
        <v>523512</v>
      </c>
      <c r="P12" s="67" t="s">
        <v>118</v>
      </c>
      <c r="Q12" s="66">
        <f t="shared" si="0"/>
        <v>650245</v>
      </c>
      <c r="R12" s="66">
        <f t="shared" si="0"/>
        <v>500828</v>
      </c>
      <c r="S12" s="105" t="s">
        <v>118</v>
      </c>
      <c r="T12" s="66">
        <f>T$16/Q$16*Q12</f>
        <v>330691</v>
      </c>
      <c r="U12" s="66">
        <f>U$16/R$16*R12</f>
        <v>172967</v>
      </c>
      <c r="V12" s="105">
        <v>3.83</v>
      </c>
      <c r="W12" s="66">
        <f>H12*V12</f>
        <v>997585</v>
      </c>
      <c r="X12" s="66">
        <f>W12*X16/W16</f>
        <v>932779</v>
      </c>
      <c r="Z12" s="150"/>
      <c r="AC12" s="147"/>
    </row>
    <row r="13" spans="1:29" ht="31.5" customHeight="1" x14ac:dyDescent="0.3">
      <c r="A13" s="245">
        <v>3</v>
      </c>
      <c r="B13" s="65" t="s">
        <v>221</v>
      </c>
      <c r="C13" s="66">
        <f>1427754</f>
        <v>1427754</v>
      </c>
      <c r="D13" s="66">
        <f>C13/$C$15*'Бизнес-план 18 190117'!$C$12</f>
        <v>982657</v>
      </c>
      <c r="E13" s="66" t="s">
        <v>118</v>
      </c>
      <c r="F13" s="66" t="s">
        <v>118</v>
      </c>
      <c r="G13" s="105" t="s">
        <v>118</v>
      </c>
      <c r="H13" s="66">
        <f>50000*5*1.05*1.05*1.05</f>
        <v>289406</v>
      </c>
      <c r="I13" s="66">
        <f>H13*I16/H16</f>
        <v>206059</v>
      </c>
      <c r="J13" s="67" t="s">
        <v>118</v>
      </c>
      <c r="K13" s="66">
        <f>C13*1.25</f>
        <v>1784693</v>
      </c>
      <c r="L13" s="66">
        <f>K13*L$16/K$16</f>
        <v>1418298</v>
      </c>
      <c r="M13" s="67" t="s">
        <v>118</v>
      </c>
      <c r="N13" s="66">
        <f>K13*1.05</f>
        <v>1873928</v>
      </c>
      <c r="O13" s="66">
        <f>N13*O$16/N$16-85785</f>
        <v>1389313</v>
      </c>
      <c r="P13" s="67" t="s">
        <v>118</v>
      </c>
      <c r="Q13" s="66">
        <f t="shared" si="0"/>
        <v>1832192</v>
      </c>
      <c r="R13" s="66">
        <f t="shared" si="0"/>
        <v>1329113</v>
      </c>
      <c r="S13" s="105" t="s">
        <v>118</v>
      </c>
      <c r="T13" s="66">
        <f>T$16/Q$16*Q13</f>
        <v>931786</v>
      </c>
      <c r="U13" s="66">
        <f>U$16/R$16*R13</f>
        <v>459025</v>
      </c>
      <c r="V13" s="105">
        <v>3.24</v>
      </c>
      <c r="W13" s="66">
        <f>H13*V13</f>
        <v>937675</v>
      </c>
      <c r="X13" s="66">
        <f>W13*X16/W16</f>
        <v>876761</v>
      </c>
      <c r="Z13" s="150"/>
    </row>
    <row r="14" spans="1:29" ht="31.5" customHeight="1" x14ac:dyDescent="0.3">
      <c r="A14" s="245">
        <v>4</v>
      </c>
      <c r="B14" s="65" t="s">
        <v>243</v>
      </c>
      <c r="C14" s="66">
        <v>0</v>
      </c>
      <c r="D14" s="66">
        <f>C14*D$16/C$16</f>
        <v>0</v>
      </c>
      <c r="E14" s="66" t="s">
        <v>118</v>
      </c>
      <c r="F14" s="66" t="s">
        <v>118</v>
      </c>
      <c r="G14" s="105" t="s">
        <v>118</v>
      </c>
      <c r="H14" s="66">
        <f>992150</f>
        <v>992150</v>
      </c>
      <c r="I14" s="66">
        <f>H14*I16/H16</f>
        <v>706416</v>
      </c>
      <c r="J14" s="67" t="s">
        <v>118</v>
      </c>
      <c r="K14" s="66">
        <f>1156318</f>
        <v>1156318</v>
      </c>
      <c r="L14" s="66">
        <f>K14*L$16/K$16</f>
        <v>918927</v>
      </c>
      <c r="M14" s="67" t="s">
        <v>118</v>
      </c>
      <c r="N14" s="66">
        <f>749331</f>
        <v>749331</v>
      </c>
      <c r="O14" s="66">
        <f>N14*O$16/N$16</f>
        <v>589850</v>
      </c>
      <c r="P14" s="67" t="s">
        <v>118</v>
      </c>
      <c r="Q14" s="66">
        <f>Q$16/N$16*N14+8488</f>
        <v>741130</v>
      </c>
      <c r="R14" s="66">
        <f>R$16/O$16*O14</f>
        <v>564291</v>
      </c>
      <c r="S14" s="105" t="s">
        <v>118</v>
      </c>
      <c r="T14" s="66">
        <f>T$16/Q$16*Q14+62929</f>
        <v>439841</v>
      </c>
      <c r="U14" s="66">
        <f>U$16/R$16*R14</f>
        <v>194885</v>
      </c>
      <c r="V14" s="105">
        <v>2.69</v>
      </c>
      <c r="W14" s="66">
        <f>H14*V14</f>
        <v>2668884</v>
      </c>
      <c r="X14" s="66">
        <f>W14*X16/W16</f>
        <v>2495505</v>
      </c>
      <c r="Z14" s="150"/>
    </row>
    <row r="15" spans="1:29" x14ac:dyDescent="0.3">
      <c r="A15" s="418" t="s">
        <v>153</v>
      </c>
      <c r="B15" s="419"/>
      <c r="C15" s="67">
        <f>SUM(C11:C14)</f>
        <v>1521348</v>
      </c>
      <c r="D15" s="67">
        <f>SUM(D11:D14)</f>
        <v>1047073</v>
      </c>
      <c r="E15" s="67" t="s">
        <v>118</v>
      </c>
      <c r="F15" s="67" t="s">
        <v>118</v>
      </c>
      <c r="G15" s="67" t="s">
        <v>118</v>
      </c>
      <c r="H15" s="67" t="e">
        <f>SUM(H11:H14)</f>
        <v>#VALUE!</v>
      </c>
      <c r="I15" s="67" t="e">
        <f>SUM(I11:I14)</f>
        <v>#VALUE!</v>
      </c>
      <c r="J15" s="67" t="s">
        <v>118</v>
      </c>
      <c r="K15" s="67">
        <f>SUM(K11:K14)</f>
        <v>3771522</v>
      </c>
      <c r="L15" s="67">
        <f>SUM(L11:L14)</f>
        <v>2997233</v>
      </c>
      <c r="M15" s="67" t="s">
        <v>118</v>
      </c>
      <c r="N15" s="67">
        <f>SUM(N11:N14)</f>
        <v>3437225</v>
      </c>
      <c r="O15" s="67">
        <f>SUM(O11:O14)</f>
        <v>2619892</v>
      </c>
      <c r="P15" s="67" t="s">
        <v>118</v>
      </c>
      <c r="Q15" s="67">
        <f>SUM(Q11:Q14)</f>
        <v>3369160</v>
      </c>
      <c r="R15" s="67">
        <f>SUM(R11:R14)</f>
        <v>2506370</v>
      </c>
      <c r="S15" s="67" t="s">
        <v>118</v>
      </c>
      <c r="T15" s="67">
        <f>SUM(T11:T14)</f>
        <v>1776361</v>
      </c>
      <c r="U15" s="67">
        <f>SUM(U11:U14)</f>
        <v>865605</v>
      </c>
      <c r="V15" s="67" t="s">
        <v>118</v>
      </c>
      <c r="W15" s="67" t="e">
        <f>SUM(W11:W14)</f>
        <v>#VALUE!</v>
      </c>
      <c r="X15" s="67" t="e">
        <f>SUM(X11:X14)</f>
        <v>#VALUE!</v>
      </c>
      <c r="Z15" s="148"/>
      <c r="AA15" s="148"/>
    </row>
    <row r="16" spans="1:29" ht="42.75" customHeight="1" x14ac:dyDescent="0.3">
      <c r="A16" s="418" t="s">
        <v>242</v>
      </c>
      <c r="B16" s="419"/>
      <c r="C16" s="67">
        <f>'Бизнес-план 18 190117'!K6</f>
        <v>12279453</v>
      </c>
      <c r="D16" s="67">
        <f>'Бизнес-план 18 190117'!C6</f>
        <v>6980818</v>
      </c>
      <c r="E16" s="67" t="s">
        <v>118</v>
      </c>
      <c r="F16" s="67" t="s">
        <v>118</v>
      </c>
      <c r="G16" s="67" t="s">
        <v>118</v>
      </c>
      <c r="H16" s="67">
        <f>'[1]12дОХР'!H17</f>
        <v>10832166</v>
      </c>
      <c r="I16" s="67">
        <f>'[1]12дОХР'!I17</f>
        <v>7712560</v>
      </c>
      <c r="J16" s="67" t="s">
        <v>118</v>
      </c>
      <c r="K16" s="67">
        <f>'Бизнес-план 19 190117'!N6</f>
        <v>25143481</v>
      </c>
      <c r="L16" s="67">
        <f>'Бизнес-план 19 190117'!D6</f>
        <v>19981555</v>
      </c>
      <c r="M16" s="67" t="s">
        <v>118</v>
      </c>
      <c r="N16" s="67">
        <f>'Бизнес-план 20 190117'!L6</f>
        <v>25601903</v>
      </c>
      <c r="O16" s="67">
        <f>'Бизнес-план 20 190117'!C6</f>
        <v>20153018</v>
      </c>
      <c r="P16" s="67" t="s">
        <v>118</v>
      </c>
      <c r="Q16" s="67">
        <f>'Бизнес-план 21 190117'!I6</f>
        <v>25031701</v>
      </c>
      <c r="R16" s="67">
        <f>'Бизнес-план 21 190117'!C6</f>
        <v>19279771</v>
      </c>
      <c r="S16" s="67" t="s">
        <v>118</v>
      </c>
      <c r="T16" s="67">
        <f>'Бизнес-план 22 190117'!H6</f>
        <v>12730206</v>
      </c>
      <c r="U16" s="67">
        <f>'Бизнес-план 22 190117'!C6</f>
        <v>6658498</v>
      </c>
      <c r="V16" s="67" t="s">
        <v>118</v>
      </c>
      <c r="W16" s="67">
        <f>'[1]12дОХР'!Q17</f>
        <v>31326829</v>
      </c>
      <c r="X16" s="67">
        <f>'[1]12дОХР'!R17</f>
        <v>29291740</v>
      </c>
    </row>
    <row r="17" spans="1:29" ht="28.5" customHeight="1" x14ac:dyDescent="0.3">
      <c r="A17" s="418" t="s">
        <v>193</v>
      </c>
      <c r="B17" s="419"/>
      <c r="C17" s="68">
        <f>C15/C16</f>
        <v>0.12</v>
      </c>
      <c r="D17" s="68">
        <f>D15/D16</f>
        <v>0.15</v>
      </c>
      <c r="E17" s="68" t="s">
        <v>118</v>
      </c>
      <c r="F17" s="68" t="s">
        <v>118</v>
      </c>
      <c r="G17" s="69" t="s">
        <v>118</v>
      </c>
      <c r="H17" s="68" t="e">
        <f>H15/H16</f>
        <v>#VALUE!</v>
      </c>
      <c r="I17" s="68" t="e">
        <f>I15/I16</f>
        <v>#VALUE!</v>
      </c>
      <c r="J17" s="68" t="s">
        <v>118</v>
      </c>
      <c r="K17" s="68">
        <f>K15/K16</f>
        <v>0.15</v>
      </c>
      <c r="L17" s="68">
        <f>L15/L16</f>
        <v>0.15</v>
      </c>
      <c r="M17" s="68" t="s">
        <v>118</v>
      </c>
      <c r="N17" s="190">
        <f>N15/N16</f>
        <v>0.13</v>
      </c>
      <c r="O17" s="68">
        <f>O15/O16</f>
        <v>0.13</v>
      </c>
      <c r="P17" s="68" t="s">
        <v>118</v>
      </c>
      <c r="Q17" s="68">
        <f>Q15/Q16</f>
        <v>0.13</v>
      </c>
      <c r="R17" s="68">
        <f>R15/R16</f>
        <v>0.13</v>
      </c>
      <c r="S17" s="68" t="s">
        <v>118</v>
      </c>
      <c r="T17" s="68">
        <f>T15/T16</f>
        <v>0.14000000000000001</v>
      </c>
      <c r="U17" s="68">
        <f>U15/U16</f>
        <v>0.13</v>
      </c>
      <c r="V17" s="68" t="s">
        <v>118</v>
      </c>
      <c r="W17" s="68" t="e">
        <f>W15/W16</f>
        <v>#VALUE!</v>
      </c>
      <c r="X17" s="68" t="e">
        <f>X15/X16</f>
        <v>#VALUE!</v>
      </c>
    </row>
    <row r="18" spans="1:29" ht="31.95" customHeight="1" x14ac:dyDescent="0.3">
      <c r="A18" s="383"/>
      <c r="B18" s="384"/>
      <c r="C18" s="385">
        <f>'Бизнес-план 18 190117'!K12</f>
        <v>1521348</v>
      </c>
      <c r="D18" s="385">
        <f>'Бизнес-план 18 190117'!C12</f>
        <v>1047073</v>
      </c>
      <c r="E18" s="386"/>
      <c r="F18" s="386"/>
      <c r="G18" s="387"/>
      <c r="H18" s="386"/>
      <c r="I18" s="386"/>
      <c r="J18" s="386"/>
      <c r="K18" s="385">
        <f>'Бизнес-план 19 190117'!N12</f>
        <v>3771522</v>
      </c>
      <c r="L18" s="385">
        <f>'Бизнес-план 19 190117'!D12</f>
        <v>2997233</v>
      </c>
      <c r="M18" s="386"/>
      <c r="N18" s="385">
        <f>'Бизнес-план 20 190117'!L12</f>
        <v>3437225</v>
      </c>
      <c r="O18" s="385">
        <f>'Бизнес-план 20 190117'!C12</f>
        <v>2619892</v>
      </c>
      <c r="P18" s="386"/>
      <c r="Q18" s="385">
        <f>'Бизнес-план 21 190117'!I12</f>
        <v>3369160</v>
      </c>
      <c r="R18" s="385">
        <f>'Бизнес-план 21 190117'!C12</f>
        <v>2506370</v>
      </c>
      <c r="S18" s="386"/>
      <c r="T18" s="385">
        <f>'Бизнес-план 22 190117'!H12</f>
        <v>1776361</v>
      </c>
      <c r="U18" s="385">
        <f>'Бизнес-план 22 190117'!C12</f>
        <v>865605</v>
      </c>
      <c r="V18" s="70"/>
      <c r="W18" s="70"/>
      <c r="X18" s="70"/>
    </row>
    <row r="19" spans="1:29" ht="31.95" customHeight="1" x14ac:dyDescent="0.3">
      <c r="A19" s="383"/>
      <c r="B19" s="384"/>
      <c r="C19" s="385">
        <f>C18-C15</f>
        <v>0</v>
      </c>
      <c r="D19" s="385">
        <f>D18-D15</f>
        <v>0</v>
      </c>
      <c r="E19" s="386"/>
      <c r="F19" s="386"/>
      <c r="G19" s="387"/>
      <c r="H19" s="386"/>
      <c r="I19" s="386"/>
      <c r="J19" s="386"/>
      <c r="K19" s="385">
        <f>K18-K15</f>
        <v>0</v>
      </c>
      <c r="L19" s="385">
        <f>L18-L15</f>
        <v>0</v>
      </c>
      <c r="M19" s="386"/>
      <c r="N19" s="385">
        <f>N18-N15</f>
        <v>0</v>
      </c>
      <c r="O19" s="385">
        <f>O18-O15</f>
        <v>0</v>
      </c>
      <c r="P19" s="386"/>
      <c r="Q19" s="385">
        <f>Q18-Q15</f>
        <v>0</v>
      </c>
      <c r="R19" s="385">
        <f>R18-R15</f>
        <v>0</v>
      </c>
      <c r="S19" s="386"/>
      <c r="T19" s="385">
        <f>T18-T15</f>
        <v>0</v>
      </c>
      <c r="U19" s="385">
        <f>U18-U15</f>
        <v>0</v>
      </c>
      <c r="V19" s="70"/>
      <c r="W19" s="70"/>
      <c r="X19" s="70"/>
    </row>
    <row r="20" spans="1:29" ht="64.2" customHeight="1" x14ac:dyDescent="0.3">
      <c r="A20" s="71"/>
      <c r="B20" s="413" t="s">
        <v>367</v>
      </c>
      <c r="C20" s="413"/>
      <c r="D20" s="71"/>
      <c r="E20" s="71"/>
      <c r="K20" s="240"/>
      <c r="L20" s="240"/>
      <c r="N20" s="240"/>
      <c r="O20" s="240"/>
      <c r="Q20" s="364"/>
      <c r="R20" s="413" t="s">
        <v>366</v>
      </c>
      <c r="S20" s="413"/>
      <c r="T20" s="413"/>
      <c r="U20" s="413"/>
      <c r="AA20" s="141"/>
      <c r="AB20" s="141"/>
      <c r="AC20" s="141"/>
    </row>
    <row r="21" spans="1:29" ht="41.4" customHeight="1" x14ac:dyDescent="0.35">
      <c r="A21" s="72"/>
      <c r="B21" s="271"/>
      <c r="C21" s="192" t="s">
        <v>234</v>
      </c>
      <c r="K21" s="240"/>
      <c r="N21" s="352"/>
      <c r="O21" s="240"/>
      <c r="R21" s="271"/>
      <c r="S21" s="271"/>
      <c r="T21" s="192" t="s">
        <v>368</v>
      </c>
    </row>
    <row r="22" spans="1:29" ht="18" x14ac:dyDescent="0.3">
      <c r="A22" s="72"/>
      <c r="B22" s="272" t="s">
        <v>231</v>
      </c>
      <c r="C22" s="195"/>
      <c r="R22" s="272" t="s">
        <v>231</v>
      </c>
      <c r="S22" s="273"/>
      <c r="T22" s="274"/>
    </row>
    <row r="23" spans="1:29" ht="18" x14ac:dyDescent="0.35">
      <c r="A23" s="39"/>
      <c r="B23" s="197" t="s">
        <v>232</v>
      </c>
      <c r="C23" s="197"/>
      <c r="R23" s="197" t="s">
        <v>232</v>
      </c>
      <c r="S23" s="197"/>
      <c r="T23" s="198"/>
    </row>
    <row r="24" spans="1:29" x14ac:dyDescent="0.3">
      <c r="B24" s="3"/>
      <c r="C24" s="130"/>
      <c r="D24" s="106"/>
      <c r="E24" s="106"/>
      <c r="F24" s="4"/>
      <c r="G24" s="131"/>
      <c r="H24" s="131"/>
      <c r="I24" s="131"/>
      <c r="K24" s="142"/>
      <c r="N24" s="142"/>
      <c r="Q24" s="142"/>
      <c r="T24" s="142"/>
      <c r="W24" s="142"/>
    </row>
    <row r="25" spans="1:29" ht="15" customHeight="1" x14ac:dyDescent="0.3">
      <c r="A25" s="142"/>
      <c r="B25" s="3"/>
      <c r="C25" s="130"/>
      <c r="D25" s="106"/>
      <c r="E25" s="106"/>
      <c r="F25" s="4"/>
      <c r="G25" s="4"/>
      <c r="H25" s="131"/>
      <c r="I25" s="131"/>
      <c r="J25" s="131"/>
      <c r="K25" s="131"/>
      <c r="M25" s="131"/>
      <c r="N25" s="131"/>
      <c r="P25" s="131"/>
      <c r="Q25" s="131"/>
      <c r="S25" s="131"/>
      <c r="T25" s="131"/>
      <c r="V25" s="131"/>
      <c r="W25" s="131"/>
    </row>
    <row r="26" spans="1:29" ht="21" customHeight="1" x14ac:dyDescent="0.3">
      <c r="B26" s="59" t="s">
        <v>115</v>
      </c>
    </row>
    <row r="27" spans="1:29" ht="21.75" customHeight="1" x14ac:dyDescent="0.3">
      <c r="B27" s="414" t="s">
        <v>223</v>
      </c>
      <c r="C27" s="414"/>
      <c r="D27" s="414"/>
      <c r="E27" s="414"/>
      <c r="F27" s="414"/>
      <c r="G27" s="414"/>
      <c r="H27" s="414"/>
      <c r="I27" s="414"/>
      <c r="J27" s="414"/>
      <c r="K27" s="414"/>
      <c r="L27" s="414"/>
      <c r="M27" s="414"/>
      <c r="N27" s="414"/>
      <c r="O27" s="414"/>
      <c r="P27" s="414"/>
      <c r="Q27" s="414"/>
      <c r="R27" s="414"/>
      <c r="S27" s="414"/>
      <c r="T27" s="414"/>
      <c r="U27" s="414"/>
      <c r="V27" s="414"/>
      <c r="W27" s="414"/>
      <c r="X27" s="414"/>
    </row>
    <row r="28" spans="1:29" x14ac:dyDescent="0.3">
      <c r="B28" s="73"/>
      <c r="C28" s="73"/>
      <c r="D28" s="73"/>
      <c r="E28" s="40"/>
      <c r="F28" s="4"/>
    </row>
    <row r="29" spans="1:29" x14ac:dyDescent="0.3">
      <c r="B29" s="74"/>
      <c r="C29" s="74"/>
      <c r="D29" s="74"/>
      <c r="E29" s="74"/>
      <c r="F29" s="4"/>
    </row>
    <row r="30" spans="1:29" ht="13.5" customHeight="1" x14ac:dyDescent="0.3">
      <c r="J30" s="124"/>
      <c r="M30" s="124"/>
      <c r="P30" s="124"/>
      <c r="S30" s="124"/>
      <c r="V30" s="124"/>
    </row>
    <row r="31" spans="1:29" ht="30" customHeight="1" x14ac:dyDescent="0.3">
      <c r="J31" s="124"/>
      <c r="M31" s="124"/>
      <c r="P31" s="124"/>
      <c r="S31" s="124"/>
      <c r="V31" s="124"/>
    </row>
    <row r="32" spans="1:29" s="59" customFormat="1" x14ac:dyDescent="0.3">
      <c r="J32" s="124"/>
      <c r="M32" s="124"/>
      <c r="P32" s="124"/>
      <c r="S32" s="124"/>
      <c r="V32" s="124"/>
      <c r="Y32" s="60"/>
      <c r="Z32" s="60"/>
      <c r="AA32" s="60"/>
      <c r="AB32" s="60"/>
      <c r="AC32" s="60"/>
    </row>
    <row r="33" spans="6:29" s="59" customFormat="1" x14ac:dyDescent="0.3">
      <c r="F33" s="75"/>
      <c r="J33" s="124"/>
      <c r="M33" s="124"/>
      <c r="P33" s="124"/>
      <c r="S33" s="124"/>
      <c r="V33" s="124"/>
      <c r="Y33" s="60"/>
      <c r="Z33" s="60"/>
      <c r="AA33" s="60"/>
      <c r="AB33" s="60"/>
      <c r="AC33" s="60"/>
    </row>
    <row r="34" spans="6:29" s="59" customFormat="1" x14ac:dyDescent="0.3">
      <c r="J34" s="124"/>
      <c r="M34" s="124"/>
      <c r="P34" s="124"/>
      <c r="S34" s="124"/>
      <c r="V34" s="124"/>
      <c r="Y34" s="60"/>
      <c r="Z34" s="60"/>
      <c r="AA34" s="60"/>
      <c r="AB34" s="60"/>
      <c r="AC34" s="60"/>
    </row>
    <row r="35" spans="6:29" s="59" customFormat="1" ht="10.5" customHeight="1" x14ac:dyDescent="0.3">
      <c r="J35" s="60"/>
      <c r="M35" s="60"/>
      <c r="P35" s="60"/>
      <c r="S35" s="60"/>
      <c r="V35" s="60"/>
      <c r="Y35" s="60"/>
      <c r="Z35" s="60"/>
      <c r="AA35" s="60"/>
      <c r="AB35" s="60"/>
      <c r="AC35" s="60"/>
    </row>
  </sheetData>
  <mergeCells count="31">
    <mergeCell ref="A3:X3"/>
    <mergeCell ref="A4:X4"/>
    <mergeCell ref="A7:A9"/>
    <mergeCell ref="B7:B9"/>
    <mergeCell ref="C7:F7"/>
    <mergeCell ref="G7:G9"/>
    <mergeCell ref="H7:I7"/>
    <mergeCell ref="J7:J9"/>
    <mergeCell ref="K7:L7"/>
    <mergeCell ref="K8:L8"/>
    <mergeCell ref="P7:P9"/>
    <mergeCell ref="Q7:R7"/>
    <mergeCell ref="Q8:R8"/>
    <mergeCell ref="M7:M9"/>
    <mergeCell ref="N7:O7"/>
    <mergeCell ref="N8:O8"/>
    <mergeCell ref="B27:X27"/>
    <mergeCell ref="B20:C20"/>
    <mergeCell ref="E8:F8"/>
    <mergeCell ref="H8:I8"/>
    <mergeCell ref="W8:X8"/>
    <mergeCell ref="A15:B15"/>
    <mergeCell ref="A16:B16"/>
    <mergeCell ref="A17:B17"/>
    <mergeCell ref="V7:V9"/>
    <mergeCell ref="W7:X7"/>
    <mergeCell ref="C8:D8"/>
    <mergeCell ref="S7:S9"/>
    <mergeCell ref="T7:U7"/>
    <mergeCell ref="T8:U8"/>
    <mergeCell ref="R20:U20"/>
  </mergeCells>
  <printOptions horizontalCentered="1"/>
  <pageMargins left="0.25" right="0.25" top="0.75" bottom="0.75" header="0.3" footer="0.3"/>
  <pageSetup paperSize="8" scale="7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34"/>
  <sheetViews>
    <sheetView workbookViewId="0">
      <selection activeCell="A15" sqref="A15"/>
    </sheetView>
  </sheetViews>
  <sheetFormatPr defaultColWidth="9.109375" defaultRowHeight="14.4" x14ac:dyDescent="0.3"/>
  <cols>
    <col min="1" max="1" width="4.5546875" style="59" customWidth="1"/>
    <col min="2" max="2" width="40" style="59" customWidth="1"/>
    <col min="3" max="3" width="11.33203125" style="59" customWidth="1"/>
    <col min="4" max="4" width="17" style="59" customWidth="1"/>
    <col min="5" max="5" width="11.109375" style="59" customWidth="1"/>
    <col min="6" max="6" width="18" style="59" customWidth="1"/>
    <col min="7" max="7" width="10" style="59" hidden="1" customWidth="1"/>
    <col min="8" max="8" width="15" style="59" hidden="1" customWidth="1"/>
    <col min="9" max="9" width="19.44140625" style="59" hidden="1" customWidth="1"/>
    <col min="10" max="10" width="11.5546875" style="59" customWidth="1"/>
    <col min="11" max="11" width="15" style="59" customWidth="1"/>
    <col min="12" max="12" width="17.6640625" style="59" customWidth="1"/>
    <col min="13" max="13" width="11.5546875" style="59" customWidth="1"/>
    <col min="14" max="14" width="13.109375" style="59" customWidth="1"/>
    <col min="15" max="15" width="18.33203125" style="59" customWidth="1"/>
    <col min="16" max="16" width="11.5546875" style="59" customWidth="1"/>
    <col min="17" max="17" width="13.5546875" style="59" customWidth="1"/>
    <col min="18" max="18" width="17.6640625" style="59" customWidth="1"/>
    <col min="19" max="19" width="11.5546875" style="59" customWidth="1"/>
    <col min="20" max="20" width="16" style="59" bestFit="1" customWidth="1"/>
    <col min="21" max="21" width="17.5546875" style="59" customWidth="1"/>
    <col min="22" max="22" width="11.5546875" style="59" hidden="1" customWidth="1"/>
    <col min="23" max="23" width="14.33203125" style="59" hidden="1" customWidth="1"/>
    <col min="24" max="24" width="19.109375" style="59" hidden="1" customWidth="1"/>
    <col min="25" max="25" width="15.33203125" style="60" bestFit="1" customWidth="1"/>
    <col min="26" max="26" width="12.44140625" style="60" bestFit="1" customWidth="1"/>
    <col min="27" max="16384" width="9.109375" style="60"/>
  </cols>
  <sheetData>
    <row r="1" spans="1:28" ht="15.6" x14ac:dyDescent="0.3">
      <c r="K1" s="437"/>
      <c r="L1" s="437"/>
      <c r="N1" s="437"/>
      <c r="O1" s="437"/>
      <c r="Q1" s="437"/>
      <c r="R1" s="437"/>
      <c r="T1" s="437" t="s">
        <v>224</v>
      </c>
      <c r="U1" s="437"/>
    </row>
    <row r="2" spans="1:28" ht="8.25" customHeight="1" x14ac:dyDescent="0.25">
      <c r="K2" s="302"/>
      <c r="L2" s="302"/>
      <c r="N2" s="302"/>
      <c r="O2" s="302"/>
      <c r="Q2" s="243"/>
      <c r="R2" s="243"/>
      <c r="T2" s="243"/>
      <c r="U2" s="243"/>
      <c r="W2" s="243"/>
      <c r="X2" s="243"/>
    </row>
    <row r="3" spans="1:28" ht="18.75" customHeight="1" x14ac:dyDescent="0.3">
      <c r="A3" s="438" t="s">
        <v>227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38"/>
      <c r="P3" s="438"/>
      <c r="Q3" s="438"/>
      <c r="R3" s="438"/>
      <c r="S3" s="438"/>
      <c r="T3" s="438"/>
      <c r="U3" s="438"/>
      <c r="V3" s="438"/>
      <c r="W3" s="438"/>
      <c r="X3" s="438"/>
    </row>
    <row r="4" spans="1:28" ht="18" x14ac:dyDescent="0.3">
      <c r="A4" s="439" t="s">
        <v>343</v>
      </c>
      <c r="B4" s="439"/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  <c r="P4" s="439"/>
      <c r="Q4" s="439"/>
      <c r="R4" s="439"/>
      <c r="S4" s="439"/>
      <c r="T4" s="439"/>
      <c r="U4" s="439"/>
      <c r="V4" s="439"/>
      <c r="W4" s="439"/>
      <c r="X4" s="439"/>
    </row>
    <row r="5" spans="1:28" ht="9.75" customHeight="1" x14ac:dyDescent="0.25">
      <c r="A5" s="62"/>
      <c r="B5" s="62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</row>
    <row r="6" spans="1:28" x14ac:dyDescent="0.3">
      <c r="A6" s="62"/>
      <c r="B6" s="62"/>
      <c r="C6" s="62"/>
      <c r="D6" s="62"/>
      <c r="E6" s="62"/>
      <c r="F6" s="62"/>
      <c r="G6" s="62"/>
      <c r="H6" s="62"/>
      <c r="I6" s="62"/>
      <c r="J6" s="62"/>
      <c r="L6" s="63"/>
      <c r="M6" s="62"/>
      <c r="O6" s="63"/>
      <c r="P6" s="62"/>
      <c r="R6" s="63"/>
      <c r="S6" s="62"/>
      <c r="U6" s="63" t="s">
        <v>145</v>
      </c>
      <c r="V6" s="62"/>
    </row>
    <row r="7" spans="1:28" ht="28.5" customHeight="1" x14ac:dyDescent="0.3">
      <c r="A7" s="423" t="s">
        <v>146</v>
      </c>
      <c r="B7" s="436" t="s">
        <v>229</v>
      </c>
      <c r="C7" s="432" t="s">
        <v>344</v>
      </c>
      <c r="D7" s="433"/>
      <c r="E7" s="433"/>
      <c r="F7" s="434"/>
      <c r="G7" s="417" t="s">
        <v>230</v>
      </c>
      <c r="H7" s="440" t="s">
        <v>235</v>
      </c>
      <c r="I7" s="441"/>
      <c r="J7" s="417" t="s">
        <v>230</v>
      </c>
      <c r="K7" s="436" t="s">
        <v>305</v>
      </c>
      <c r="L7" s="436"/>
      <c r="M7" s="417" t="s">
        <v>230</v>
      </c>
      <c r="N7" s="436" t="s">
        <v>301</v>
      </c>
      <c r="O7" s="436"/>
      <c r="P7" s="417" t="s">
        <v>230</v>
      </c>
      <c r="Q7" s="436" t="s">
        <v>345</v>
      </c>
      <c r="R7" s="436"/>
      <c r="S7" s="417" t="s">
        <v>230</v>
      </c>
      <c r="T7" s="436" t="s">
        <v>346</v>
      </c>
      <c r="U7" s="436"/>
      <c r="V7" s="417" t="s">
        <v>230</v>
      </c>
      <c r="W7" s="436" t="s">
        <v>236</v>
      </c>
      <c r="X7" s="436"/>
    </row>
    <row r="8" spans="1:28" ht="33.75" customHeight="1" x14ac:dyDescent="0.3">
      <c r="A8" s="423"/>
      <c r="B8" s="436"/>
      <c r="C8" s="436" t="s">
        <v>147</v>
      </c>
      <c r="D8" s="436"/>
      <c r="E8" s="436" t="s">
        <v>148</v>
      </c>
      <c r="F8" s="436"/>
      <c r="G8" s="417"/>
      <c r="H8" s="417" t="s">
        <v>149</v>
      </c>
      <c r="I8" s="417"/>
      <c r="J8" s="417"/>
      <c r="K8" s="417" t="s">
        <v>149</v>
      </c>
      <c r="L8" s="417"/>
      <c r="M8" s="417"/>
      <c r="N8" s="417" t="s">
        <v>149</v>
      </c>
      <c r="O8" s="417"/>
      <c r="P8" s="417"/>
      <c r="Q8" s="417" t="s">
        <v>149</v>
      </c>
      <c r="R8" s="417"/>
      <c r="S8" s="417"/>
      <c r="T8" s="417" t="s">
        <v>149</v>
      </c>
      <c r="U8" s="417"/>
      <c r="V8" s="417"/>
      <c r="W8" s="417" t="s">
        <v>149</v>
      </c>
      <c r="X8" s="417"/>
    </row>
    <row r="9" spans="1:28" ht="49.5" customHeight="1" x14ac:dyDescent="0.3">
      <c r="A9" s="423"/>
      <c r="B9" s="436"/>
      <c r="C9" s="245" t="s">
        <v>150</v>
      </c>
      <c r="D9" s="244" t="s">
        <v>151</v>
      </c>
      <c r="E9" s="245" t="s">
        <v>150</v>
      </c>
      <c r="F9" s="244" t="s">
        <v>151</v>
      </c>
      <c r="G9" s="417"/>
      <c r="H9" s="245" t="s">
        <v>150</v>
      </c>
      <c r="I9" s="244" t="s">
        <v>151</v>
      </c>
      <c r="J9" s="417"/>
      <c r="K9" s="303" t="s">
        <v>150</v>
      </c>
      <c r="L9" s="301" t="s">
        <v>151</v>
      </c>
      <c r="M9" s="417"/>
      <c r="N9" s="303" t="s">
        <v>150</v>
      </c>
      <c r="O9" s="301" t="s">
        <v>151</v>
      </c>
      <c r="P9" s="417"/>
      <c r="Q9" s="245" t="s">
        <v>150</v>
      </c>
      <c r="R9" s="244" t="s">
        <v>151</v>
      </c>
      <c r="S9" s="417"/>
      <c r="T9" s="245" t="s">
        <v>150</v>
      </c>
      <c r="U9" s="244" t="s">
        <v>151</v>
      </c>
      <c r="V9" s="417"/>
      <c r="W9" s="245" t="s">
        <v>150</v>
      </c>
      <c r="X9" s="244" t="s">
        <v>151</v>
      </c>
    </row>
    <row r="10" spans="1:28" ht="15" x14ac:dyDescent="0.25">
      <c r="A10" s="64">
        <v>1</v>
      </c>
      <c r="B10" s="64">
        <v>2</v>
      </c>
      <c r="C10" s="64">
        <v>3</v>
      </c>
      <c r="D10" s="64">
        <v>4</v>
      </c>
      <c r="E10" s="64">
        <v>5</v>
      </c>
      <c r="F10" s="64">
        <v>6</v>
      </c>
      <c r="G10" s="64">
        <v>7</v>
      </c>
      <c r="H10" s="64">
        <v>8</v>
      </c>
      <c r="I10" s="64">
        <v>9</v>
      </c>
      <c r="J10" s="64">
        <v>7</v>
      </c>
      <c r="K10" s="64">
        <v>8</v>
      </c>
      <c r="L10" s="64">
        <v>9</v>
      </c>
      <c r="M10" s="64">
        <v>10</v>
      </c>
      <c r="N10" s="64">
        <v>11</v>
      </c>
      <c r="O10" s="64">
        <v>12</v>
      </c>
      <c r="P10" s="64">
        <v>13</v>
      </c>
      <c r="Q10" s="64">
        <v>14</v>
      </c>
      <c r="R10" s="64">
        <v>15</v>
      </c>
      <c r="S10" s="64">
        <v>16</v>
      </c>
      <c r="T10" s="64">
        <v>17</v>
      </c>
      <c r="U10" s="64">
        <v>18</v>
      </c>
      <c r="V10" s="64">
        <v>10</v>
      </c>
      <c r="W10" s="64">
        <v>11</v>
      </c>
      <c r="X10" s="64">
        <v>12</v>
      </c>
      <c r="AA10" s="188"/>
      <c r="AB10" s="189"/>
    </row>
    <row r="11" spans="1:28" ht="28.5" customHeight="1" x14ac:dyDescent="0.3">
      <c r="A11" s="245">
        <v>1</v>
      </c>
      <c r="B11" s="65" t="s">
        <v>152</v>
      </c>
      <c r="C11" s="66">
        <f>63261.93</f>
        <v>63262</v>
      </c>
      <c r="D11" s="66">
        <f>C11*'Бизнес-план 18 190117'!$C$11/(C$16-$C$14)</f>
        <v>32800</v>
      </c>
      <c r="E11" s="66" t="s">
        <v>118</v>
      </c>
      <c r="F11" s="66" t="s">
        <v>118</v>
      </c>
      <c r="G11" s="105">
        <v>1.2529999999999999</v>
      </c>
      <c r="H11" s="66" t="e">
        <f>E11*G11</f>
        <v>#VALUE!</v>
      </c>
      <c r="I11" s="66" t="e">
        <f>H11*I17/H17</f>
        <v>#VALUE!</v>
      </c>
      <c r="J11" s="105" t="s">
        <v>118</v>
      </c>
      <c r="K11" s="66">
        <f>256099*30594207/26084024*1.3</f>
        <v>390495</v>
      </c>
      <c r="L11" s="66">
        <f>K11*L$17/K$17</f>
        <v>310327</v>
      </c>
      <c r="M11" s="105" t="s">
        <v>118</v>
      </c>
      <c r="N11" s="66">
        <f>K11*0.9</f>
        <v>351446</v>
      </c>
      <c r="O11" s="66">
        <f>N11*O$17/N$17</f>
        <v>276647</v>
      </c>
      <c r="P11" s="105" t="s">
        <v>118</v>
      </c>
      <c r="Q11" s="66">
        <f>N11*Q$17/N$17</f>
        <v>343619</v>
      </c>
      <c r="R11" s="66">
        <f>Q11*R$17/Q$17</f>
        <v>264660</v>
      </c>
      <c r="S11" s="105" t="s">
        <v>118</v>
      </c>
      <c r="T11" s="66">
        <f>Q11*T$17/Q$17</f>
        <v>174752</v>
      </c>
      <c r="U11" s="66">
        <f>T11*U$17/T$17</f>
        <v>91404</v>
      </c>
      <c r="V11" s="105">
        <v>1.9830000000000001</v>
      </c>
      <c r="W11" s="66" t="e">
        <f>H11*V11</f>
        <v>#VALUE!</v>
      </c>
      <c r="X11" s="66" t="e">
        <f>W11*X17/W17</f>
        <v>#VALUE!</v>
      </c>
      <c r="AA11" s="188"/>
      <c r="AB11" s="189"/>
    </row>
    <row r="12" spans="1:28" ht="36.75" customHeight="1" x14ac:dyDescent="0.3">
      <c r="A12" s="245">
        <v>2</v>
      </c>
      <c r="B12" s="65" t="s">
        <v>155</v>
      </c>
      <c r="C12" s="66">
        <f>619860.53</f>
        <v>619861</v>
      </c>
      <c r="D12" s="66">
        <f>C12*'Бизнес-план 18 190117'!$C$11/(C$16-$C$14)</f>
        <v>321385</v>
      </c>
      <c r="E12" s="66" t="s">
        <v>118</v>
      </c>
      <c r="F12" s="66" t="s">
        <v>118</v>
      </c>
      <c r="G12" s="105">
        <f>1.05</f>
        <v>1.05</v>
      </c>
      <c r="H12" s="66" t="e">
        <f>E12*G12</f>
        <v>#VALUE!</v>
      </c>
      <c r="I12" s="66" t="e">
        <f>H12*I17/H17</f>
        <v>#VALUE!</v>
      </c>
      <c r="J12" s="105" t="s">
        <v>118</v>
      </c>
      <c r="K12" s="66">
        <f>2431958*30594207/26084024/2</f>
        <v>1426234</v>
      </c>
      <c r="L12" s="66">
        <f>K12*L$17/K$17+134375.21/2-5914</f>
        <v>1194704</v>
      </c>
      <c r="M12" s="105" t="s">
        <v>118</v>
      </c>
      <c r="N12" s="66">
        <f>K12*1.05</f>
        <v>1497546</v>
      </c>
      <c r="O12" s="66">
        <f>N12*O$17/N$17</f>
        <v>1178821</v>
      </c>
      <c r="P12" s="105" t="s">
        <v>118</v>
      </c>
      <c r="Q12" s="66">
        <f>N12*Q$17/N$17</f>
        <v>1464193</v>
      </c>
      <c r="R12" s="66">
        <f>Q12*R$17/Q$17</f>
        <v>1127742</v>
      </c>
      <c r="S12" s="105" t="s">
        <v>118</v>
      </c>
      <c r="T12" s="66">
        <f>Q12*T$17/Q$17</f>
        <v>744635</v>
      </c>
      <c r="U12" s="66">
        <f>T12*U$17/T$17</f>
        <v>389479</v>
      </c>
      <c r="V12" s="105">
        <v>2.3450000000000002</v>
      </c>
      <c r="W12" s="66" t="e">
        <f>H12*V12</f>
        <v>#VALUE!</v>
      </c>
      <c r="X12" s="66" t="e">
        <f>W12*X17/W17</f>
        <v>#VALUE!</v>
      </c>
      <c r="AA12" s="188"/>
      <c r="AB12" s="189"/>
    </row>
    <row r="13" spans="1:28" ht="45.75" customHeight="1" x14ac:dyDescent="0.3">
      <c r="A13" s="245">
        <v>3</v>
      </c>
      <c r="B13" s="65" t="s">
        <v>156</v>
      </c>
      <c r="C13" s="66">
        <f>6614655</f>
        <v>6614655</v>
      </c>
      <c r="D13" s="66">
        <f>C13*'Бизнес-план 18 190117'!$C$11/(C$16-$C$14)</f>
        <v>3429559</v>
      </c>
      <c r="E13" s="66" t="s">
        <v>118</v>
      </c>
      <c r="F13" s="66" t="s">
        <v>118</v>
      </c>
      <c r="G13" s="105">
        <v>1.39</v>
      </c>
      <c r="H13" s="66" t="e">
        <f>E13*G13</f>
        <v>#VALUE!</v>
      </c>
      <c r="I13" s="66" t="e">
        <f>H13*I17/H17</f>
        <v>#VALUE!</v>
      </c>
      <c r="J13" s="105" t="s">
        <v>118</v>
      </c>
      <c r="K13" s="66">
        <f>11583427*1.05+175619</f>
        <v>12338217</v>
      </c>
      <c r="L13" s="66">
        <f>K13*L$17/K$17</f>
        <v>9805196</v>
      </c>
      <c r="M13" s="105" t="s">
        <v>118</v>
      </c>
      <c r="N13" s="66">
        <f>K13*1.05</f>
        <v>12955128</v>
      </c>
      <c r="O13" s="66">
        <f>N13*O$17/N$17</f>
        <v>10197872</v>
      </c>
      <c r="P13" s="105" t="s">
        <v>118</v>
      </c>
      <c r="Q13" s="66">
        <f>N13*Q$17/N$17+21684</f>
        <v>12688277</v>
      </c>
      <c r="R13" s="66">
        <f>Q13*R$17/Q$17-212199.06/2</f>
        <v>9666591</v>
      </c>
      <c r="S13" s="105" t="s">
        <v>118</v>
      </c>
      <c r="T13" s="66">
        <f>Q13*T$17/Q$17+149759+5465</f>
        <v>6608017</v>
      </c>
      <c r="U13" s="66">
        <f>T13*U$17/T$17-153995.17/2-2190</f>
        <v>3377117</v>
      </c>
      <c r="V13" s="105">
        <v>3.97</v>
      </c>
      <c r="W13" s="66" t="e">
        <f>H13*V13</f>
        <v>#VALUE!</v>
      </c>
      <c r="X13" s="66" t="e">
        <f>W13*X17/W17</f>
        <v>#VALUE!</v>
      </c>
      <c r="Z13" s="150"/>
      <c r="AA13" s="188"/>
      <c r="AB13" s="189"/>
    </row>
    <row r="14" spans="1:28" ht="35.25" customHeight="1" x14ac:dyDescent="0.3">
      <c r="A14" s="245">
        <v>4</v>
      </c>
      <c r="B14" s="65" t="s">
        <v>157</v>
      </c>
      <c r="C14" s="66">
        <f>99375.48</f>
        <v>99375</v>
      </c>
      <c r="D14" s="66">
        <v>0</v>
      </c>
      <c r="E14" s="66" t="s">
        <v>118</v>
      </c>
      <c r="F14" s="66" t="s">
        <v>118</v>
      </c>
      <c r="G14" s="105">
        <f>1.0795</f>
        <v>1.0794999999999999</v>
      </c>
      <c r="H14" s="66" t="e">
        <f>E14*G14</f>
        <v>#VALUE!</v>
      </c>
      <c r="I14" s="66">
        <v>0</v>
      </c>
      <c r="J14" s="105" t="s">
        <v>118</v>
      </c>
      <c r="K14" s="66">
        <v>161649</v>
      </c>
      <c r="L14" s="66">
        <v>0</v>
      </c>
      <c r="M14" s="105" t="s">
        <v>118</v>
      </c>
      <c r="N14" s="66">
        <f>K14*1.05</f>
        <v>169731</v>
      </c>
      <c r="O14" s="66">
        <v>0</v>
      </c>
      <c r="P14" s="105" t="s">
        <v>118</v>
      </c>
      <c r="Q14" s="66">
        <f>N14*1.05</f>
        <v>178218</v>
      </c>
      <c r="R14" s="66">
        <v>0</v>
      </c>
      <c r="S14" s="105" t="s">
        <v>118</v>
      </c>
      <c r="T14" s="66">
        <f>Q14*1.05</f>
        <v>187129</v>
      </c>
      <c r="U14" s="66">
        <v>0</v>
      </c>
      <c r="V14" s="105">
        <v>1.054</v>
      </c>
      <c r="W14" s="66" t="e">
        <f>H14*V14</f>
        <v>#VALUE!</v>
      </c>
      <c r="X14" s="66">
        <v>0</v>
      </c>
      <c r="AA14" s="188"/>
      <c r="AB14" s="189"/>
    </row>
    <row r="15" spans="1:28" ht="28.5" customHeight="1" x14ac:dyDescent="0.3">
      <c r="A15" s="245">
        <v>5</v>
      </c>
      <c r="B15" s="65" t="s">
        <v>158</v>
      </c>
      <c r="C15" s="66">
        <f>4819852</f>
        <v>4819852</v>
      </c>
      <c r="D15" s="66">
        <f>C15*'Бизнес-план 18 190117'!$C$11/(C$16-$C$14)</f>
        <v>2498992</v>
      </c>
      <c r="E15" s="66" t="s">
        <v>118</v>
      </c>
      <c r="F15" s="66" t="s">
        <v>118</v>
      </c>
      <c r="G15" s="105">
        <f>1.05</f>
        <v>1.05</v>
      </c>
      <c r="H15" s="66" t="e">
        <f>E15*G15</f>
        <v>#VALUE!</v>
      </c>
      <c r="I15" s="66" t="e">
        <f>H15*I17/H17</f>
        <v>#VALUE!</v>
      </c>
      <c r="J15" s="105" t="s">
        <v>118</v>
      </c>
      <c r="K15" s="66">
        <f>11682330-3369792</f>
        <v>8312538</v>
      </c>
      <c r="L15" s="66">
        <f>K15*L$17/K$17+134375.21/2</f>
        <v>6673172</v>
      </c>
      <c r="M15" s="105" t="s">
        <v>118</v>
      </c>
      <c r="N15" s="66">
        <f>K15*1.05-2272544</f>
        <v>6455621</v>
      </c>
      <c r="O15" s="66">
        <f>N15*O$17/N$17-209528</f>
        <v>4872135</v>
      </c>
      <c r="P15" s="105" t="s">
        <v>118</v>
      </c>
      <c r="Q15" s="66">
        <f>N15*Q$17/N$17</f>
        <v>6311842</v>
      </c>
      <c r="R15" s="66">
        <f>Q15*R$17/Q$17-111051</f>
        <v>4750419</v>
      </c>
      <c r="S15" s="105" t="s">
        <v>118</v>
      </c>
      <c r="T15" s="66">
        <f>Q15*T$17/Q$17</f>
        <v>3209972</v>
      </c>
      <c r="U15" s="66">
        <f>T15*U$17/T$17-153995.17/2</f>
        <v>1601969</v>
      </c>
      <c r="V15" s="105">
        <v>2.2400000000000002</v>
      </c>
      <c r="W15" s="66" t="e">
        <f>H15*V15</f>
        <v>#VALUE!</v>
      </c>
      <c r="X15" s="66" t="e">
        <f>W15*X17/W17</f>
        <v>#VALUE!</v>
      </c>
      <c r="Z15" s="149"/>
    </row>
    <row r="16" spans="1:28" x14ac:dyDescent="0.3">
      <c r="A16" s="418" t="s">
        <v>153</v>
      </c>
      <c r="B16" s="419"/>
      <c r="C16" s="67">
        <f>SUM(C11:C15)</f>
        <v>12217005</v>
      </c>
      <c r="D16" s="67">
        <f>SUM(D11:D15)</f>
        <v>6282736</v>
      </c>
      <c r="E16" s="67" t="s">
        <v>118</v>
      </c>
      <c r="F16" s="67" t="s">
        <v>118</v>
      </c>
      <c r="G16" s="67" t="s">
        <v>118</v>
      </c>
      <c r="H16" s="67" t="e">
        <f>SUM(H11:H15)</f>
        <v>#VALUE!</v>
      </c>
      <c r="I16" s="67" t="e">
        <f>SUM(I11:I15)</f>
        <v>#VALUE!</v>
      </c>
      <c r="J16" s="67" t="s">
        <v>118</v>
      </c>
      <c r="K16" s="67">
        <f>SUM(K11:K15)</f>
        <v>22629133</v>
      </c>
      <c r="L16" s="67">
        <f>SUM(L11:L15)</f>
        <v>17983399</v>
      </c>
      <c r="M16" s="67" t="s">
        <v>118</v>
      </c>
      <c r="N16" s="67">
        <f>SUM(N11:N15)</f>
        <v>21429472</v>
      </c>
      <c r="O16" s="67">
        <f>SUM(O11:O15)</f>
        <v>16525475</v>
      </c>
      <c r="P16" s="67" t="s">
        <v>118</v>
      </c>
      <c r="Q16" s="67">
        <f>SUM(Q11:Q15)</f>
        <v>20986149</v>
      </c>
      <c r="R16" s="67">
        <f>SUM(R11:R15)</f>
        <v>15809412</v>
      </c>
      <c r="S16" s="67" t="s">
        <v>118</v>
      </c>
      <c r="T16" s="67">
        <f>SUM(T11:T15)</f>
        <v>10924505</v>
      </c>
      <c r="U16" s="67">
        <f>SUM(U11:U15)</f>
        <v>5459969</v>
      </c>
      <c r="V16" s="67" t="s">
        <v>118</v>
      </c>
      <c r="W16" s="67" t="e">
        <f>SUM(W11:W15)</f>
        <v>#VALUE!</v>
      </c>
      <c r="X16" s="67" t="e">
        <f>SUM(X11:X15)</f>
        <v>#VALUE!</v>
      </c>
      <c r="Y16" s="186"/>
      <c r="Z16" s="187"/>
      <c r="AA16" s="148"/>
    </row>
    <row r="17" spans="1:25" ht="45" customHeight="1" x14ac:dyDescent="0.3">
      <c r="A17" s="418" t="s">
        <v>228</v>
      </c>
      <c r="B17" s="419"/>
      <c r="C17" s="67">
        <f>'Бизнес-план 18 190117'!K6</f>
        <v>12279453</v>
      </c>
      <c r="D17" s="67">
        <f>'Бизнес-план 18 190117'!C6</f>
        <v>6980818</v>
      </c>
      <c r="E17" s="67" t="s">
        <v>118</v>
      </c>
      <c r="F17" s="67" t="s">
        <v>118</v>
      </c>
      <c r="G17" s="67" t="s">
        <v>118</v>
      </c>
      <c r="H17" s="67">
        <f>'[1]12дОХР'!H18</f>
        <v>0</v>
      </c>
      <c r="I17" s="67">
        <f>'[1]12дОХР'!I18</f>
        <v>0</v>
      </c>
      <c r="J17" s="67" t="s">
        <v>118</v>
      </c>
      <c r="K17" s="67">
        <f>'Бизнес-план 19 190117'!N6</f>
        <v>25143481</v>
      </c>
      <c r="L17" s="67">
        <f>'Бизнес-план 19 190117'!D6</f>
        <v>19981555</v>
      </c>
      <c r="M17" s="67" t="s">
        <v>118</v>
      </c>
      <c r="N17" s="67">
        <f>'Бизнес-план 20 190117'!L6</f>
        <v>25601903</v>
      </c>
      <c r="O17" s="67">
        <f>'Бизнес-план 20 190117'!C6</f>
        <v>20153018</v>
      </c>
      <c r="P17" s="67" t="s">
        <v>118</v>
      </c>
      <c r="Q17" s="67">
        <f>'Бизнес-план 21 190117'!I6</f>
        <v>25031701</v>
      </c>
      <c r="R17" s="67">
        <f>'Бизнес-план 21 190117'!C6</f>
        <v>19279771</v>
      </c>
      <c r="S17" s="67" t="s">
        <v>118</v>
      </c>
      <c r="T17" s="67">
        <f>'Бизнес-план 22 190117'!H6</f>
        <v>12730206</v>
      </c>
      <c r="U17" s="67">
        <f>'Бизнес-план 22 190117'!C6</f>
        <v>6658498</v>
      </c>
      <c r="V17" s="67" t="s">
        <v>118</v>
      </c>
      <c r="W17" s="67">
        <f>'[1]Бизнес-план на 2019'!N6</f>
        <v>31326829</v>
      </c>
      <c r="X17" s="67">
        <f>'[1]Бизнес-план на 2019'!C6</f>
        <v>29291740</v>
      </c>
      <c r="Y17" s="185"/>
    </row>
    <row r="18" spans="1:25" ht="28.5" customHeight="1" x14ac:dyDescent="0.3">
      <c r="A18" s="418" t="s">
        <v>154</v>
      </c>
      <c r="B18" s="419"/>
      <c r="C18" s="190">
        <f>C16/C17</f>
        <v>0.99</v>
      </c>
      <c r="D18" s="190">
        <f>D16/D17</f>
        <v>0.9</v>
      </c>
      <c r="E18" s="68" t="s">
        <v>118</v>
      </c>
      <c r="F18" s="68" t="s">
        <v>118</v>
      </c>
      <c r="G18" s="69" t="s">
        <v>118</v>
      </c>
      <c r="H18" s="68" t="e">
        <f>H16/H17</f>
        <v>#VALUE!</v>
      </c>
      <c r="I18" s="68" t="e">
        <f>I16/I17</f>
        <v>#VALUE!</v>
      </c>
      <c r="J18" s="68" t="s">
        <v>118</v>
      </c>
      <c r="K18" s="190">
        <f>K16/K17</f>
        <v>0.9</v>
      </c>
      <c r="L18" s="190">
        <f>L16/L17</f>
        <v>0.9</v>
      </c>
      <c r="M18" s="68" t="s">
        <v>118</v>
      </c>
      <c r="N18" s="190">
        <f>N16/N17</f>
        <v>0.84</v>
      </c>
      <c r="O18" s="190">
        <f>O16/O17</f>
        <v>0.82</v>
      </c>
      <c r="P18" s="68" t="s">
        <v>118</v>
      </c>
      <c r="Q18" s="190">
        <f>Q16/Q17</f>
        <v>0.84</v>
      </c>
      <c r="R18" s="190">
        <f>R16/R17</f>
        <v>0.82</v>
      </c>
      <c r="S18" s="68" t="s">
        <v>118</v>
      </c>
      <c r="T18" s="190">
        <f>T16/T17</f>
        <v>0.86</v>
      </c>
      <c r="U18" s="190">
        <f>U16/U17</f>
        <v>0.82</v>
      </c>
      <c r="V18" s="68" t="s">
        <v>118</v>
      </c>
      <c r="W18" s="190" t="e">
        <f>W16/W17</f>
        <v>#VALUE!</v>
      </c>
      <c r="X18" s="190" t="e">
        <f>X16/X17</f>
        <v>#VALUE!</v>
      </c>
    </row>
    <row r="19" spans="1:25" ht="28.5" customHeight="1" x14ac:dyDescent="0.3">
      <c r="A19" s="388"/>
      <c r="B19" s="385"/>
      <c r="C19" s="385">
        <f>'Бизнес-план 18 190117'!K11</f>
        <v>12217005</v>
      </c>
      <c r="D19" s="385">
        <f>'Бизнес-план 18 190117'!C11</f>
        <v>6282736</v>
      </c>
      <c r="E19" s="385"/>
      <c r="F19" s="385"/>
      <c r="G19" s="385"/>
      <c r="H19" s="385"/>
      <c r="I19" s="385"/>
      <c r="J19" s="385"/>
      <c r="K19" s="385">
        <f>'Бизнес-план 19 190117'!N11</f>
        <v>22629133</v>
      </c>
      <c r="L19" s="385">
        <f>'Бизнес-план 19 190117'!D11</f>
        <v>17983399</v>
      </c>
      <c r="M19" s="385"/>
      <c r="N19" s="385">
        <f>'Бизнес-план 20 190117'!L11</f>
        <v>21429472</v>
      </c>
      <c r="O19" s="385">
        <f>'Бизнес-план 20 190117'!C11</f>
        <v>16525475</v>
      </c>
      <c r="P19" s="385"/>
      <c r="Q19" s="385">
        <f>'Бизнес-план 21 190117'!I11</f>
        <v>20986149</v>
      </c>
      <c r="R19" s="385">
        <f>'Бизнес-план 21 190117'!C11</f>
        <v>15809412</v>
      </c>
      <c r="S19" s="385"/>
      <c r="T19" s="385">
        <f>'Бизнес-план 22 190117'!H11</f>
        <v>10924505</v>
      </c>
      <c r="U19" s="385">
        <f>'Бизнес-план 22 190117'!C11</f>
        <v>5459969</v>
      </c>
      <c r="V19" s="66"/>
      <c r="W19" s="66"/>
      <c r="X19" s="66"/>
    </row>
    <row r="20" spans="1:25" ht="34.5" customHeight="1" x14ac:dyDescent="0.3">
      <c r="A20" s="389"/>
      <c r="B20" s="385"/>
      <c r="C20" s="385">
        <f>C19-C16</f>
        <v>0</v>
      </c>
      <c r="D20" s="385">
        <f>D19-D16</f>
        <v>0</v>
      </c>
      <c r="E20" s="385"/>
      <c r="F20" s="385"/>
      <c r="G20" s="385"/>
      <c r="H20" s="385"/>
      <c r="I20" s="385"/>
      <c r="J20" s="385"/>
      <c r="K20" s="385">
        <f>K19-K16</f>
        <v>0</v>
      </c>
      <c r="L20" s="385">
        <f>L19-L16</f>
        <v>0</v>
      </c>
      <c r="M20" s="385"/>
      <c r="N20" s="385">
        <f>N19-N16</f>
        <v>0</v>
      </c>
      <c r="O20" s="385">
        <f>O19-O16</f>
        <v>0</v>
      </c>
      <c r="P20" s="385"/>
      <c r="Q20" s="385">
        <f>Q19-Q16</f>
        <v>0</v>
      </c>
      <c r="R20" s="385">
        <f>R19-R16</f>
        <v>0</v>
      </c>
      <c r="S20" s="385"/>
      <c r="T20" s="385">
        <f>T19-T16</f>
        <v>0</v>
      </c>
      <c r="U20" s="385">
        <f>U19-U16</f>
        <v>0</v>
      </c>
      <c r="V20" s="66"/>
      <c r="W20" s="66"/>
      <c r="X20" s="66"/>
    </row>
    <row r="21" spans="1:25" ht="81" customHeight="1" x14ac:dyDescent="0.3">
      <c r="A21" s="71"/>
      <c r="B21" s="413" t="s">
        <v>367</v>
      </c>
      <c r="C21" s="413"/>
      <c r="D21" s="71"/>
      <c r="E21" s="71"/>
      <c r="K21" s="240"/>
      <c r="L21" s="241"/>
      <c r="N21" s="240"/>
      <c r="O21" s="241"/>
      <c r="Q21" s="240"/>
      <c r="R21" s="413" t="s">
        <v>366</v>
      </c>
      <c r="S21" s="413"/>
      <c r="T21" s="413"/>
      <c r="U21" s="413"/>
    </row>
    <row r="22" spans="1:25" ht="32.25" customHeight="1" x14ac:dyDescent="0.35">
      <c r="A22" s="72"/>
      <c r="B22" s="271"/>
      <c r="C22" s="192" t="s">
        <v>234</v>
      </c>
      <c r="F22" s="352"/>
      <c r="J22" s="352"/>
      <c r="K22" s="240"/>
      <c r="L22" s="240"/>
      <c r="N22" s="240"/>
      <c r="O22" s="240"/>
      <c r="Q22" s="240"/>
      <c r="R22" s="271"/>
      <c r="S22" s="271"/>
      <c r="T22" s="192" t="s">
        <v>368</v>
      </c>
    </row>
    <row r="23" spans="1:25" ht="22.95" customHeight="1" x14ac:dyDescent="0.3">
      <c r="A23" s="72"/>
      <c r="B23" s="272" t="s">
        <v>231</v>
      </c>
      <c r="C23" s="195"/>
      <c r="K23" s="240"/>
      <c r="R23" s="272" t="s">
        <v>231</v>
      </c>
      <c r="S23" s="273"/>
      <c r="T23" s="274"/>
    </row>
    <row r="24" spans="1:25" ht="26.25" customHeight="1" x14ac:dyDescent="0.35">
      <c r="A24" s="39"/>
      <c r="B24" s="197" t="s">
        <v>232</v>
      </c>
      <c r="C24" s="197"/>
      <c r="R24" s="197" t="s">
        <v>232</v>
      </c>
      <c r="S24" s="197"/>
      <c r="T24" s="198"/>
    </row>
    <row r="25" spans="1:25" ht="23.25" customHeight="1" x14ac:dyDescent="0.3">
      <c r="B25" s="3"/>
      <c r="C25" s="130"/>
      <c r="D25" s="106"/>
      <c r="E25" s="106"/>
      <c r="F25" s="4"/>
      <c r="G25" s="131"/>
      <c r="H25" s="131"/>
      <c r="I25" s="131"/>
      <c r="K25" s="142"/>
      <c r="N25" s="142"/>
      <c r="Q25" s="142"/>
      <c r="T25" s="142"/>
      <c r="U25" s="240"/>
      <c r="W25" s="142"/>
    </row>
    <row r="26" spans="1:25" ht="15.75" customHeight="1" x14ac:dyDescent="0.3">
      <c r="B26" s="276" t="s">
        <v>115</v>
      </c>
      <c r="Q26" s="240"/>
      <c r="R26" s="240"/>
      <c r="T26" s="240"/>
      <c r="U26" s="240"/>
    </row>
    <row r="27" spans="1:25" ht="21" customHeight="1" x14ac:dyDescent="0.3">
      <c r="B27" s="277" t="s">
        <v>223</v>
      </c>
      <c r="C27" s="239"/>
      <c r="D27" s="239"/>
      <c r="E27" s="239"/>
      <c r="F27" s="239"/>
      <c r="G27" s="239"/>
      <c r="H27" s="239"/>
      <c r="I27" s="239"/>
      <c r="J27" s="239"/>
      <c r="K27" s="239"/>
      <c r="L27" s="239"/>
      <c r="M27" s="239"/>
      <c r="N27" s="239"/>
      <c r="O27" s="239"/>
      <c r="P27" s="239"/>
      <c r="Q27" s="239"/>
      <c r="R27" s="239"/>
      <c r="S27" s="239"/>
      <c r="T27" s="239"/>
      <c r="U27" s="239"/>
      <c r="V27" s="239"/>
      <c r="W27" s="239"/>
      <c r="X27" s="239"/>
    </row>
    <row r="28" spans="1:25" x14ac:dyDescent="0.3">
      <c r="B28" s="73"/>
      <c r="C28" s="73"/>
      <c r="D28" s="73"/>
      <c r="E28" s="40"/>
      <c r="F28" s="32"/>
    </row>
    <row r="29" spans="1:25" x14ac:dyDescent="0.3">
      <c r="B29" s="435"/>
      <c r="C29" s="435"/>
      <c r="D29" s="435"/>
      <c r="E29" s="435"/>
      <c r="F29" s="143"/>
    </row>
    <row r="30" spans="1:25" ht="13.5" customHeight="1" x14ac:dyDescent="0.3">
      <c r="F30" s="32"/>
      <c r="G30" s="4"/>
      <c r="H30" s="4"/>
      <c r="I30" s="4"/>
      <c r="J30" s="4"/>
      <c r="M30" s="4"/>
      <c r="P30" s="4"/>
      <c r="S30" s="4"/>
      <c r="V30" s="4"/>
    </row>
    <row r="31" spans="1:25" ht="33" customHeight="1" x14ac:dyDescent="0.3">
      <c r="J31" s="124"/>
      <c r="M31" s="124"/>
      <c r="P31" s="124"/>
      <c r="S31" s="124"/>
      <c r="V31" s="124"/>
    </row>
    <row r="32" spans="1:25" s="59" customFormat="1" ht="13.8" x14ac:dyDescent="0.3">
      <c r="J32" s="124"/>
      <c r="M32" s="124"/>
      <c r="P32" s="124"/>
      <c r="S32" s="124"/>
      <c r="V32" s="124"/>
    </row>
    <row r="33" spans="6:22" s="59" customFormat="1" ht="13.8" x14ac:dyDescent="0.3">
      <c r="F33" s="75"/>
      <c r="J33" s="124"/>
      <c r="M33" s="124"/>
      <c r="P33" s="124"/>
      <c r="S33" s="124"/>
      <c r="V33" s="124"/>
    </row>
    <row r="34" spans="6:22" s="59" customFormat="1" ht="13.8" x14ac:dyDescent="0.3">
      <c r="J34" s="124"/>
      <c r="M34" s="124"/>
      <c r="P34" s="124"/>
      <c r="S34" s="124"/>
      <c r="V34" s="124"/>
    </row>
  </sheetData>
  <mergeCells count="35">
    <mergeCell ref="K1:L1"/>
    <mergeCell ref="J7:J9"/>
    <mergeCell ref="K7:L7"/>
    <mergeCell ref="K8:L8"/>
    <mergeCell ref="N1:O1"/>
    <mergeCell ref="M7:M9"/>
    <mergeCell ref="N7:O7"/>
    <mergeCell ref="N8:O8"/>
    <mergeCell ref="Q1:R1"/>
    <mergeCell ref="T1:U1"/>
    <mergeCell ref="A3:X3"/>
    <mergeCell ref="A4:X4"/>
    <mergeCell ref="A7:A9"/>
    <mergeCell ref="B7:B9"/>
    <mergeCell ref="C7:F7"/>
    <mergeCell ref="G7:G9"/>
    <mergeCell ref="H7:I7"/>
    <mergeCell ref="P7:P9"/>
    <mergeCell ref="Q7:R7"/>
    <mergeCell ref="S7:S9"/>
    <mergeCell ref="T7:U7"/>
    <mergeCell ref="V7:V9"/>
    <mergeCell ref="W7:X7"/>
    <mergeCell ref="Q8:R8"/>
    <mergeCell ref="T8:U8"/>
    <mergeCell ref="B29:E29"/>
    <mergeCell ref="W8:X8"/>
    <mergeCell ref="A16:B16"/>
    <mergeCell ref="A17:B17"/>
    <mergeCell ref="A18:B18"/>
    <mergeCell ref="B21:C21"/>
    <mergeCell ref="C8:D8"/>
    <mergeCell ref="E8:F8"/>
    <mergeCell ref="H8:I8"/>
    <mergeCell ref="R21:U21"/>
  </mergeCells>
  <printOptions horizontalCentered="1"/>
  <pageMargins left="0.25" right="0.25" top="0.75" bottom="0.75" header="0.3" footer="0.3"/>
  <pageSetup paperSize="8" scale="73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opLeftCell="A7" workbookViewId="0">
      <selection activeCell="D16" sqref="D16"/>
    </sheetView>
  </sheetViews>
  <sheetFormatPr defaultColWidth="9.109375" defaultRowHeight="14.4" x14ac:dyDescent="0.3"/>
  <cols>
    <col min="1" max="1" width="5.33203125" style="213" customWidth="1"/>
    <col min="2" max="2" width="67.5546875" style="213" customWidth="1"/>
    <col min="3" max="3" width="16" style="214" customWidth="1"/>
    <col min="4" max="4" width="26.109375" style="213" customWidth="1"/>
    <col min="5" max="5" width="29.44140625" style="215" customWidth="1"/>
    <col min="6" max="6" width="9.109375" style="213"/>
    <col min="7" max="7" width="10.5546875" style="213" bestFit="1" customWidth="1"/>
    <col min="8" max="16384" width="9.109375" style="213"/>
  </cols>
  <sheetData>
    <row r="1" spans="1:9" ht="15.6" x14ac:dyDescent="0.3">
      <c r="A1" s="60"/>
      <c r="B1" s="60"/>
      <c r="C1" s="107"/>
      <c r="D1" s="444" t="s">
        <v>194</v>
      </c>
      <c r="E1" s="444"/>
    </row>
    <row r="2" spans="1:9" ht="12" customHeight="1" x14ac:dyDescent="0.25">
      <c r="A2" s="60"/>
      <c r="B2" s="60"/>
      <c r="C2" s="107"/>
      <c r="D2" s="108"/>
      <c r="E2" s="109"/>
    </row>
    <row r="3" spans="1:9" ht="18" x14ac:dyDescent="0.35">
      <c r="A3" s="110"/>
      <c r="B3" s="111"/>
      <c r="C3" s="107"/>
      <c r="D3" s="278" t="s">
        <v>195</v>
      </c>
      <c r="E3" s="279"/>
    </row>
    <row r="4" spans="1:9" ht="10.95" customHeight="1" x14ac:dyDescent="0.3">
      <c r="A4" s="111"/>
      <c r="B4" s="111"/>
      <c r="C4" s="111"/>
      <c r="D4" s="280"/>
      <c r="E4" s="279"/>
    </row>
    <row r="5" spans="1:9" ht="25.2" customHeight="1" x14ac:dyDescent="0.3">
      <c r="A5" s="445"/>
      <c r="B5" s="445"/>
      <c r="C5" s="107"/>
      <c r="D5" s="413" t="s">
        <v>233</v>
      </c>
      <c r="E5" s="413"/>
    </row>
    <row r="6" spans="1:9" ht="33.75" customHeight="1" x14ac:dyDescent="0.35">
      <c r="A6" s="112"/>
      <c r="B6" s="112"/>
      <c r="C6" s="107"/>
      <c r="D6" s="271"/>
      <c r="E6" s="192" t="s">
        <v>234</v>
      </c>
    </row>
    <row r="7" spans="1:9" ht="18" x14ac:dyDescent="0.3">
      <c r="A7" s="111"/>
      <c r="B7" s="111"/>
      <c r="C7" s="107"/>
      <c r="D7" s="272" t="s">
        <v>231</v>
      </c>
      <c r="E7" s="195"/>
    </row>
    <row r="8" spans="1:9" ht="26.4" customHeight="1" x14ac:dyDescent="0.35">
      <c r="A8" s="111"/>
      <c r="B8" s="111"/>
      <c r="C8" s="236"/>
      <c r="D8" s="197" t="s">
        <v>232</v>
      </c>
      <c r="E8" s="197"/>
    </row>
    <row r="9" spans="1:9" ht="54.6" customHeight="1" x14ac:dyDescent="0.3">
      <c r="A9" s="446" t="s">
        <v>299</v>
      </c>
      <c r="B9" s="446"/>
      <c r="C9" s="446"/>
      <c r="D9" s="446"/>
      <c r="E9" s="446"/>
    </row>
    <row r="10" spans="1:9" ht="12" customHeight="1" x14ac:dyDescent="0.25">
      <c r="A10" s="113"/>
      <c r="B10" s="114"/>
      <c r="C10" s="114"/>
      <c r="D10" s="114"/>
      <c r="E10" s="109"/>
    </row>
    <row r="11" spans="1:9" ht="36.75" customHeight="1" x14ac:dyDescent="0.3">
      <c r="A11" s="115" t="s">
        <v>166</v>
      </c>
      <c r="B11" s="116" t="s">
        <v>196</v>
      </c>
      <c r="C11" s="115" t="s">
        <v>197</v>
      </c>
      <c r="D11" s="115" t="s">
        <v>198</v>
      </c>
      <c r="E11" s="115" t="s">
        <v>251</v>
      </c>
    </row>
    <row r="12" spans="1:9" ht="16.5" customHeight="1" x14ac:dyDescent="0.25">
      <c r="A12" s="237">
        <v>1</v>
      </c>
      <c r="B12" s="237">
        <v>2</v>
      </c>
      <c r="C12" s="237">
        <v>3</v>
      </c>
      <c r="D12" s="117">
        <v>4</v>
      </c>
      <c r="E12" s="118">
        <v>5</v>
      </c>
      <c r="F12" s="216"/>
      <c r="G12" s="216"/>
      <c r="H12" s="216"/>
      <c r="I12" s="216"/>
    </row>
    <row r="13" spans="1:9" ht="21" customHeight="1" x14ac:dyDescent="0.3">
      <c r="A13" s="237">
        <v>1</v>
      </c>
      <c r="B13" s="235" t="s">
        <v>199</v>
      </c>
      <c r="C13" s="447" t="s">
        <v>252</v>
      </c>
      <c r="D13" s="128">
        <f>'Бизнес-план 20 190117'!C25</f>
        <v>31955</v>
      </c>
      <c r="E13" s="117" t="s">
        <v>118</v>
      </c>
      <c r="F13" s="216"/>
      <c r="G13" s="216"/>
      <c r="H13" s="216"/>
      <c r="I13" s="216"/>
    </row>
    <row r="14" spans="1:9" ht="19.5" customHeight="1" x14ac:dyDescent="0.3">
      <c r="A14" s="234" t="s">
        <v>200</v>
      </c>
      <c r="B14" s="119" t="s">
        <v>201</v>
      </c>
      <c r="C14" s="448"/>
      <c r="D14" s="128">
        <f>D13</f>
        <v>31955</v>
      </c>
      <c r="E14" s="117" t="s">
        <v>118</v>
      </c>
      <c r="F14" s="216"/>
      <c r="G14" s="216"/>
      <c r="H14" s="216"/>
      <c r="I14" s="216"/>
    </row>
    <row r="15" spans="1:9" ht="35.25" customHeight="1" x14ac:dyDescent="0.3">
      <c r="A15" s="234" t="s">
        <v>202</v>
      </c>
      <c r="B15" s="120" t="s">
        <v>203</v>
      </c>
      <c r="C15" s="237" t="s">
        <v>204</v>
      </c>
      <c r="D15" s="128">
        <f>'Бизнес-план 20 190117'!C6</f>
        <v>20153018</v>
      </c>
      <c r="E15" s="117" t="s">
        <v>118</v>
      </c>
      <c r="F15" s="216"/>
      <c r="G15" s="216"/>
      <c r="H15" s="216"/>
      <c r="I15" s="216"/>
    </row>
    <row r="16" spans="1:9" ht="27.6" x14ac:dyDescent="0.3">
      <c r="A16" s="234" t="s">
        <v>15</v>
      </c>
      <c r="B16" s="121" t="s">
        <v>205</v>
      </c>
      <c r="C16" s="237" t="s">
        <v>204</v>
      </c>
      <c r="D16" s="128">
        <f>'Бизнес-план 20 190117'!C7</f>
        <v>18834597</v>
      </c>
      <c r="E16" s="117" t="s">
        <v>118</v>
      </c>
      <c r="F16" s="216"/>
      <c r="G16" s="216"/>
      <c r="H16" s="216"/>
      <c r="I16" s="216"/>
    </row>
    <row r="17" spans="1:8" ht="21.75" customHeight="1" x14ac:dyDescent="0.3">
      <c r="A17" s="234" t="s">
        <v>17</v>
      </c>
      <c r="B17" s="121" t="s">
        <v>206</v>
      </c>
      <c r="C17" s="237" t="s">
        <v>204</v>
      </c>
      <c r="D17" s="117" t="s">
        <v>118</v>
      </c>
      <c r="E17" s="237" t="s">
        <v>118</v>
      </c>
    </row>
    <row r="18" spans="1:8" ht="35.25" customHeight="1" x14ac:dyDescent="0.3">
      <c r="A18" s="234" t="s">
        <v>19</v>
      </c>
      <c r="B18" s="119" t="s">
        <v>207</v>
      </c>
      <c r="C18" s="237" t="s">
        <v>204</v>
      </c>
      <c r="D18" s="212">
        <f>530*1.0535*1.0556</f>
        <v>589.4</v>
      </c>
      <c r="E18" s="237" t="s">
        <v>118</v>
      </c>
      <c r="G18" s="353"/>
    </row>
    <row r="19" spans="1:8" x14ac:dyDescent="0.3">
      <c r="A19" s="449" t="s">
        <v>21</v>
      </c>
      <c r="B19" s="450" t="s">
        <v>208</v>
      </c>
      <c r="C19" s="237" t="s">
        <v>209</v>
      </c>
      <c r="D19" s="129">
        <v>7.0000000000000007E-2</v>
      </c>
      <c r="E19" s="237" t="s">
        <v>118</v>
      </c>
    </row>
    <row r="20" spans="1:8" ht="17.25" customHeight="1" x14ac:dyDescent="0.3">
      <c r="A20" s="449"/>
      <c r="B20" s="450"/>
      <c r="C20" s="237" t="s">
        <v>204</v>
      </c>
      <c r="D20" s="128">
        <f>D16*D19</f>
        <v>1318422</v>
      </c>
      <c r="E20" s="237" t="s">
        <v>118</v>
      </c>
    </row>
    <row r="21" spans="1:8" x14ac:dyDescent="0.3">
      <c r="A21" s="234" t="s">
        <v>210</v>
      </c>
      <c r="B21" s="235" t="s">
        <v>211</v>
      </c>
      <c r="C21" s="237" t="s">
        <v>209</v>
      </c>
      <c r="D21" s="129">
        <v>0.3</v>
      </c>
      <c r="E21" s="237" t="s">
        <v>118</v>
      </c>
    </row>
    <row r="22" spans="1:8" ht="15.75" customHeight="1" x14ac:dyDescent="0.3">
      <c r="A22" s="234" t="s">
        <v>24</v>
      </c>
      <c r="B22" s="120" t="s">
        <v>212</v>
      </c>
      <c r="C22" s="237" t="s">
        <v>209</v>
      </c>
      <c r="D22" s="129">
        <f>D21-D23</f>
        <v>0.29799999999999999</v>
      </c>
      <c r="E22" s="237" t="s">
        <v>118</v>
      </c>
    </row>
    <row r="23" spans="1:8" ht="39" customHeight="1" x14ac:dyDescent="0.3">
      <c r="A23" s="234" t="s">
        <v>27</v>
      </c>
      <c r="B23" s="121" t="s">
        <v>213</v>
      </c>
      <c r="C23" s="237" t="s">
        <v>209</v>
      </c>
      <c r="D23" s="129">
        <v>2E-3</v>
      </c>
      <c r="E23" s="117" t="s">
        <v>118</v>
      </c>
    </row>
    <row r="24" spans="1:8" x14ac:dyDescent="0.3">
      <c r="A24" s="234" t="s">
        <v>214</v>
      </c>
      <c r="B24" s="121" t="s">
        <v>215</v>
      </c>
      <c r="C24" s="117"/>
      <c r="D24" s="122"/>
      <c r="E24" s="237"/>
    </row>
    <row r="25" spans="1:8" ht="48.75" customHeight="1" x14ac:dyDescent="0.3">
      <c r="A25" s="234" t="s">
        <v>35</v>
      </c>
      <c r="B25" s="121" t="s">
        <v>253</v>
      </c>
      <c r="C25" s="237" t="s">
        <v>209</v>
      </c>
      <c r="D25" s="129">
        <v>0.82</v>
      </c>
      <c r="E25" s="158" t="s">
        <v>118</v>
      </c>
    </row>
    <row r="26" spans="1:8" ht="52.5" customHeight="1" x14ac:dyDescent="0.3">
      <c r="A26" s="234" t="s">
        <v>45</v>
      </c>
      <c r="B26" s="121" t="s">
        <v>254</v>
      </c>
      <c r="C26" s="237" t="s">
        <v>209</v>
      </c>
      <c r="D26" s="129">
        <v>0.13</v>
      </c>
      <c r="E26" s="237" t="s">
        <v>118</v>
      </c>
    </row>
    <row r="27" spans="1:8" ht="24" customHeight="1" x14ac:dyDescent="0.3">
      <c r="A27" s="234" t="s">
        <v>216</v>
      </c>
      <c r="B27" s="119" t="s">
        <v>255</v>
      </c>
      <c r="C27" s="237" t="s">
        <v>217</v>
      </c>
      <c r="D27" s="117" t="s">
        <v>118</v>
      </c>
      <c r="E27" s="237" t="s">
        <v>118</v>
      </c>
    </row>
    <row r="28" spans="1:8" ht="24" customHeight="1" x14ac:dyDescent="0.3">
      <c r="A28" s="123">
        <v>5</v>
      </c>
      <c r="B28" s="119" t="s">
        <v>256</v>
      </c>
      <c r="C28" s="237" t="s">
        <v>209</v>
      </c>
      <c r="D28" s="117" t="s">
        <v>118</v>
      </c>
      <c r="E28" s="237" t="s">
        <v>118</v>
      </c>
    </row>
    <row r="29" spans="1:8" ht="33.6" customHeight="1" x14ac:dyDescent="0.3">
      <c r="A29" s="124"/>
      <c r="B29" s="124"/>
      <c r="C29" s="125"/>
      <c r="D29" s="124"/>
      <c r="E29" s="126"/>
    </row>
    <row r="30" spans="1:8" ht="51.6" customHeight="1" x14ac:dyDescent="0.3">
      <c r="A30" s="201"/>
      <c r="B30" s="201"/>
      <c r="C30" s="201"/>
      <c r="D30" s="413" t="s">
        <v>366</v>
      </c>
      <c r="E30" s="413"/>
      <c r="F30" s="217"/>
      <c r="G30" s="218"/>
      <c r="H30" s="218"/>
    </row>
    <row r="31" spans="1:8" ht="37.950000000000003" customHeight="1" x14ac:dyDescent="0.35">
      <c r="A31" s="159"/>
      <c r="B31" s="159"/>
      <c r="C31" s="127"/>
      <c r="D31" s="200" t="s">
        <v>245</v>
      </c>
      <c r="E31" s="192" t="s">
        <v>368</v>
      </c>
      <c r="F31" s="219"/>
      <c r="G31" s="217"/>
    </row>
    <row r="32" spans="1:8" ht="16.5" customHeight="1" x14ac:dyDescent="0.3">
      <c r="A32" s="60"/>
      <c r="B32" s="60"/>
      <c r="C32" s="159"/>
      <c r="D32" s="194" t="s">
        <v>231</v>
      </c>
      <c r="E32" s="195"/>
      <c r="F32" s="220"/>
      <c r="G32" s="221"/>
    </row>
    <row r="33" spans="1:7" ht="33" customHeight="1" x14ac:dyDescent="0.35">
      <c r="A33" s="60"/>
      <c r="B33" s="233"/>
      <c r="C33" s="233"/>
      <c r="D33" s="197" t="s">
        <v>232</v>
      </c>
      <c r="E33" s="197"/>
      <c r="F33" s="223"/>
      <c r="G33" s="221"/>
    </row>
    <row r="34" spans="1:7" ht="38.25" customHeight="1" x14ac:dyDescent="0.3">
      <c r="A34" s="442" t="s">
        <v>115</v>
      </c>
      <c r="B34" s="442"/>
      <c r="C34" s="442"/>
      <c r="D34" s="442"/>
      <c r="E34" s="442"/>
      <c r="F34" s="221"/>
      <c r="G34" s="221"/>
    </row>
    <row r="35" spans="1:7" ht="33" customHeight="1" x14ac:dyDescent="0.3">
      <c r="A35" s="60"/>
      <c r="B35" s="443" t="s">
        <v>218</v>
      </c>
      <c r="C35" s="443"/>
      <c r="D35" s="443"/>
      <c r="E35" s="109"/>
      <c r="F35" s="221"/>
      <c r="G35" s="221"/>
    </row>
    <row r="36" spans="1:7" ht="11.25" customHeight="1" x14ac:dyDescent="0.3">
      <c r="B36" s="222"/>
      <c r="C36" s="224"/>
      <c r="D36" s="221"/>
      <c r="E36" s="225"/>
      <c r="F36" s="221"/>
      <c r="G36" s="221"/>
    </row>
    <row r="37" spans="1:7" x14ac:dyDescent="0.3">
      <c r="B37" s="222"/>
      <c r="C37" s="224"/>
      <c r="D37" s="221"/>
      <c r="E37" s="225"/>
      <c r="F37" s="221"/>
      <c r="G37" s="221"/>
    </row>
    <row r="38" spans="1:7" x14ac:dyDescent="0.3">
      <c r="E38" s="226"/>
      <c r="F38" s="227"/>
      <c r="G38" s="227"/>
    </row>
  </sheetData>
  <mergeCells count="10">
    <mergeCell ref="D30:E30"/>
    <mergeCell ref="A34:E34"/>
    <mergeCell ref="B35:D35"/>
    <mergeCell ref="D1:E1"/>
    <mergeCell ref="A5:B5"/>
    <mergeCell ref="D5:E5"/>
    <mergeCell ref="A9:E9"/>
    <mergeCell ref="C13:C14"/>
    <mergeCell ref="A19:A20"/>
    <mergeCell ref="B19:B20"/>
  </mergeCells>
  <pageMargins left="0.39370078740157483" right="0.31496062992125984" top="0.78740157480314965" bottom="0.39370078740157483" header="0.19685039370078741" footer="0.19685039370078741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18</vt:i4>
      </vt:variant>
    </vt:vector>
  </HeadingPairs>
  <TitlesOfParts>
    <vt:vector size="38" baseType="lpstr">
      <vt:lpstr>10 (10д) ДЗП 2018</vt:lpstr>
      <vt:lpstr>10 (10д) ДЗП (2019)</vt:lpstr>
      <vt:lpstr>10 (10д) ДЗП 2019</vt:lpstr>
      <vt:lpstr>10 (10д) ДЗП 2020</vt:lpstr>
      <vt:lpstr>10 (10д) ДЗП 2021</vt:lpstr>
      <vt:lpstr>10 (10д) ДЗП 2022</vt:lpstr>
      <vt:lpstr>11дОПР</vt:lpstr>
      <vt:lpstr>12дОХР</vt:lpstr>
      <vt:lpstr>22.1 (22.1д) прот норм (2020)</vt:lpstr>
      <vt:lpstr>22.1 (22.1д) прот норм (2021)</vt:lpstr>
      <vt:lpstr>22.1 (22.1д) прот норм (2022)</vt:lpstr>
      <vt:lpstr>22.2д труд</vt:lpstr>
      <vt:lpstr>Бизнес-план 18 190117</vt:lpstr>
      <vt:lpstr>Бизнес-план 19 190117</vt:lpstr>
      <vt:lpstr>21д свед. об V поставки</vt:lpstr>
      <vt:lpstr>Бизнес-план 20 190117</vt:lpstr>
      <vt:lpstr>Бизнес-план 21 190117</vt:lpstr>
      <vt:lpstr>Бизнес-план 22 190117</vt:lpstr>
      <vt:lpstr>Факт 2017</vt:lpstr>
      <vt:lpstr>Расчеты Енот и Гамбит ТТ</vt:lpstr>
      <vt:lpstr>'10 (10д) ДЗП 2018'!Заголовки_для_печати</vt:lpstr>
      <vt:lpstr>'10 (10д) ДЗП 2019'!Заголовки_для_печати</vt:lpstr>
      <vt:lpstr>'10 (10д) ДЗП 2020'!Заголовки_для_печати</vt:lpstr>
      <vt:lpstr>'10 (10д) ДЗП 2021'!Заголовки_для_печати</vt:lpstr>
      <vt:lpstr>'10 (10д) ДЗП 2022'!Заголовки_для_печати</vt:lpstr>
      <vt:lpstr>'22.2д труд'!Заголовки_для_печати</vt:lpstr>
      <vt:lpstr>'10 (10д) ДЗП 2018'!Область_печати</vt:lpstr>
      <vt:lpstr>'10 (10д) ДЗП 2019'!Область_печати</vt:lpstr>
      <vt:lpstr>'10 (10д) ДЗП 2020'!Область_печати</vt:lpstr>
      <vt:lpstr>'10 (10д) ДЗП 2021'!Область_печати</vt:lpstr>
      <vt:lpstr>'10 (10д) ДЗП 2022'!Область_печати</vt:lpstr>
      <vt:lpstr>'11дОПР'!Область_печати</vt:lpstr>
      <vt:lpstr>'12дОХР'!Область_печати</vt:lpstr>
      <vt:lpstr>'21д свед. об V поставки'!Область_печати</vt:lpstr>
      <vt:lpstr>'22.1 (22.1д) прот норм (2020)'!Область_печати</vt:lpstr>
      <vt:lpstr>'22.1 (22.1д) прот норм (2021)'!Область_печати</vt:lpstr>
      <vt:lpstr>'22.1 (22.1д) прот норм (2022)'!Область_печати</vt:lpstr>
      <vt:lpstr>'22.2д труд'!Область_печати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Александр Перегудов</cp:lastModifiedBy>
  <cp:lastPrinted>2019-02-21T15:07:22Z</cp:lastPrinted>
  <dcterms:created xsi:type="dcterms:W3CDTF">2018-03-22T18:25:36Z</dcterms:created>
  <dcterms:modified xsi:type="dcterms:W3CDTF">2019-02-21T15:19:58Z</dcterms:modified>
</cp:coreProperties>
</file>